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or\Downloads\REFORMA DA COBERTURA DA CAMARA MUNICIPAL\"/>
    </mc:Choice>
  </mc:AlternateContent>
  <xr:revisionPtr revIDLastSave="0" documentId="13_ncr:1_{27B1229C-696F-4EF3-AA51-B6725D95EC5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lanilha" sheetId="1" r:id="rId1"/>
    <sheet name="memória de cálculo" sheetId="4" r:id="rId2"/>
    <sheet name="cronograma" sheetId="2" r:id="rId3"/>
    <sheet name="BDI" sheetId="5" r:id="rId4"/>
  </sheets>
  <definedNames>
    <definedName name="_xlnm.Print_Area" localSheetId="3">BDI!$A$1:$I$27</definedName>
    <definedName name="_xlnm.Print_Area" localSheetId="2">cronograma!$A$1:$I$18</definedName>
    <definedName name="_xlnm.Print_Area" localSheetId="0">Planilha!$A$1:$J$46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9" i="2"/>
  <c r="H8" i="2"/>
  <c r="H6" i="2"/>
  <c r="H7" i="2"/>
  <c r="G14" i="2"/>
  <c r="F14" i="2"/>
  <c r="E11" i="2"/>
  <c r="J19" i="1"/>
  <c r="J38" i="4"/>
  <c r="J36" i="4"/>
  <c r="J37" i="4"/>
  <c r="J39" i="4"/>
  <c r="J33" i="4"/>
  <c r="J34" i="4"/>
  <c r="J35" i="4"/>
  <c r="J20" i="4"/>
  <c r="J23" i="4"/>
  <c r="G12" i="1"/>
  <c r="G13" i="1"/>
  <c r="J15" i="4"/>
  <c r="C21" i="4"/>
  <c r="C22" i="4"/>
  <c r="C23" i="4"/>
  <c r="C24" i="4"/>
  <c r="C25" i="4"/>
  <c r="C26" i="4"/>
  <c r="J21" i="4"/>
  <c r="F21" i="1" s="1"/>
  <c r="H21" i="1" s="1"/>
  <c r="A21" i="4"/>
  <c r="B21" i="4"/>
  <c r="D21" i="4"/>
  <c r="E21" i="4"/>
  <c r="H14" i="2" l="1"/>
  <c r="F11" i="2"/>
  <c r="F31" i="1"/>
  <c r="H31" i="1" s="1"/>
  <c r="F29" i="1"/>
  <c r="H29" i="1" s="1"/>
  <c r="J26" i="4"/>
  <c r="F26" i="1" s="1"/>
  <c r="J18" i="4"/>
  <c r="F18" i="1" s="1"/>
  <c r="H18" i="1" s="1"/>
  <c r="A14" i="4"/>
  <c r="B14" i="4"/>
  <c r="C14" i="4"/>
  <c r="D14" i="4"/>
  <c r="E14" i="4"/>
  <c r="F12" i="1"/>
  <c r="F13" i="1"/>
  <c r="F14" i="1"/>
  <c r="H14" i="1" s="1"/>
  <c r="J30" i="4"/>
  <c r="F30" i="1" s="1"/>
  <c r="H30" i="1" s="1"/>
  <c r="J27" i="4"/>
  <c r="F27" i="1" s="1"/>
  <c r="A18" i="4"/>
  <c r="B18" i="4"/>
  <c r="C18" i="4"/>
  <c r="D18" i="4"/>
  <c r="E18" i="4"/>
  <c r="J28" i="4"/>
  <c r="F28" i="1" l="1"/>
  <c r="H28" i="1" s="1"/>
  <c r="H27" i="1"/>
  <c r="B20" i="4"/>
  <c r="B32" i="4"/>
  <c r="A32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26" i="4"/>
  <c r="B26" i="4"/>
  <c r="D26" i="4"/>
  <c r="E26" i="4"/>
  <c r="A27" i="4"/>
  <c r="B27" i="4"/>
  <c r="C27" i="4"/>
  <c r="D27" i="4"/>
  <c r="E27" i="4"/>
  <c r="H26" i="1" l="1"/>
  <c r="F35" i="1"/>
  <c r="H35" i="1" s="1"/>
  <c r="F34" i="1"/>
  <c r="F33" i="1"/>
  <c r="F39" i="1" l="1"/>
  <c r="F38" i="1"/>
  <c r="F37" i="1"/>
  <c r="F36" i="1"/>
  <c r="H36" i="1" s="1"/>
  <c r="J41" i="4"/>
  <c r="A37" i="4"/>
  <c r="B37" i="4"/>
  <c r="C37" i="4"/>
  <c r="D37" i="4"/>
  <c r="E37" i="4"/>
  <c r="A38" i="4"/>
  <c r="B38" i="4"/>
  <c r="C38" i="4"/>
  <c r="D38" i="4"/>
  <c r="E38" i="4"/>
  <c r="A39" i="4"/>
  <c r="B39" i="4"/>
  <c r="C39" i="4"/>
  <c r="D39" i="4"/>
  <c r="E39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E33" i="4"/>
  <c r="D33" i="4"/>
  <c r="C33" i="4"/>
  <c r="B33" i="4"/>
  <c r="A33" i="4"/>
  <c r="J24" i="4"/>
  <c r="F24" i="1" s="1"/>
  <c r="F23" i="1"/>
  <c r="H23" i="1" s="1"/>
  <c r="F22" i="1"/>
  <c r="H22" i="1" s="1"/>
  <c r="A22" i="4"/>
  <c r="B22" i="4"/>
  <c r="D22" i="4"/>
  <c r="E22" i="4"/>
  <c r="A23" i="4"/>
  <c r="B23" i="4"/>
  <c r="D23" i="4"/>
  <c r="E23" i="4"/>
  <c r="A24" i="4"/>
  <c r="B24" i="4"/>
  <c r="D24" i="4"/>
  <c r="E24" i="4"/>
  <c r="A25" i="4"/>
  <c r="B25" i="4"/>
  <c r="D25" i="4"/>
  <c r="E25" i="4"/>
  <c r="J25" i="4"/>
  <c r="F25" i="1" s="1"/>
  <c r="J16" i="4"/>
  <c r="J17" i="4"/>
  <c r="F17" i="1" s="1"/>
  <c r="H34" i="1"/>
  <c r="F15" i="1"/>
  <c r="H15" i="1" s="1"/>
  <c r="E15" i="4"/>
  <c r="D15" i="4"/>
  <c r="C15" i="4"/>
  <c r="B15" i="4"/>
  <c r="A15" i="4"/>
  <c r="E13" i="4"/>
  <c r="D13" i="4"/>
  <c r="C13" i="4"/>
  <c r="B13" i="4"/>
  <c r="A13" i="4"/>
  <c r="E12" i="4"/>
  <c r="D12" i="4"/>
  <c r="C12" i="4"/>
  <c r="B12" i="4"/>
  <c r="A12" i="4"/>
  <c r="H13" i="1"/>
  <c r="H12" i="1"/>
  <c r="D4" i="5"/>
  <c r="A2" i="5"/>
  <c r="A3" i="5"/>
  <c r="A4" i="5"/>
  <c r="H25" i="1" l="1"/>
  <c r="H38" i="1"/>
  <c r="H39" i="1"/>
  <c r="H37" i="1"/>
  <c r="H33" i="1"/>
  <c r="H32" i="1" l="1"/>
  <c r="H24" i="1"/>
  <c r="B12" i="2"/>
  <c r="B10" i="2"/>
  <c r="B8" i="2"/>
  <c r="H12" i="2"/>
  <c r="F20" i="1"/>
  <c r="H20" i="1" s="1"/>
  <c r="A20" i="4"/>
  <c r="C20" i="4"/>
  <c r="D20" i="4"/>
  <c r="E20" i="4"/>
  <c r="E17" i="4"/>
  <c r="A17" i="4"/>
  <c r="B17" i="4"/>
  <c r="C17" i="4"/>
  <c r="D17" i="4"/>
  <c r="B19" i="4"/>
  <c r="A19" i="4"/>
  <c r="H19" i="1" l="1"/>
  <c r="H17" i="1"/>
  <c r="I7" i="5" l="1"/>
  <c r="B6" i="2" l="1"/>
  <c r="E42" i="4" l="1"/>
  <c r="A45" i="4"/>
  <c r="C18" i="5"/>
  <c r="F41" i="1"/>
  <c r="H41" i="1" s="1"/>
  <c r="H40" i="1" s="1"/>
  <c r="F16" i="1"/>
  <c r="H16" i="1" s="1"/>
  <c r="H11" i="1" s="1"/>
  <c r="E41" i="4"/>
  <c r="D41" i="4"/>
  <c r="C41" i="4"/>
  <c r="B41" i="4"/>
  <c r="A41" i="4"/>
  <c r="B40" i="4"/>
  <c r="A40" i="4"/>
  <c r="E16" i="4"/>
  <c r="D16" i="4"/>
  <c r="C16" i="4"/>
  <c r="B16" i="4"/>
  <c r="A16" i="4"/>
  <c r="B11" i="4"/>
  <c r="A11" i="4"/>
  <c r="F10" i="1"/>
  <c r="J3" i="1" l="1"/>
  <c r="J3" i="4"/>
  <c r="H5" i="5"/>
  <c r="I14" i="1" l="1"/>
  <c r="J14" i="1" s="1"/>
  <c r="I21" i="1"/>
  <c r="J21" i="1" s="1"/>
  <c r="I26" i="1"/>
  <c r="J26" i="1" s="1"/>
  <c r="I18" i="1"/>
  <c r="J18" i="1" s="1"/>
  <c r="I27" i="1"/>
  <c r="J27" i="1" s="1"/>
  <c r="I38" i="1"/>
  <c r="J38" i="1" s="1"/>
  <c r="I37" i="1"/>
  <c r="J37" i="1" s="1"/>
  <c r="I35" i="1"/>
  <c r="J35" i="1" s="1"/>
  <c r="I36" i="1"/>
  <c r="J36" i="1" s="1"/>
  <c r="I39" i="1"/>
  <c r="J39" i="1" s="1"/>
  <c r="I28" i="1"/>
  <c r="J28" i="1" s="1"/>
  <c r="I29" i="1"/>
  <c r="J29" i="1" s="1"/>
  <c r="I30" i="1"/>
  <c r="J30" i="1" s="1"/>
  <c r="I31" i="1"/>
  <c r="J31" i="1" s="1"/>
  <c r="I22" i="1"/>
  <c r="J22" i="1" s="1"/>
  <c r="I23" i="1"/>
  <c r="J23" i="1" s="1"/>
  <c r="I34" i="1"/>
  <c r="J34" i="1" s="1"/>
  <c r="I33" i="1"/>
  <c r="J33" i="1" s="1"/>
  <c r="I12" i="1"/>
  <c r="J12" i="1" s="1"/>
  <c r="I15" i="1"/>
  <c r="J15" i="1" s="1"/>
  <c r="I13" i="1"/>
  <c r="J13" i="1" s="1"/>
  <c r="I25" i="1"/>
  <c r="J25" i="1" s="1"/>
  <c r="I24" i="1"/>
  <c r="J24" i="1" s="1"/>
  <c r="I20" i="1"/>
  <c r="J20" i="1" s="1"/>
  <c r="I17" i="1"/>
  <c r="J17" i="1" s="1"/>
  <c r="I16" i="1"/>
  <c r="J16" i="1" s="1"/>
  <c r="I41" i="1"/>
  <c r="J41" i="1" s="1"/>
  <c r="J40" i="1" s="1"/>
  <c r="J32" i="1" l="1"/>
  <c r="J11" i="1"/>
  <c r="E13" i="2"/>
  <c r="G13" i="2" s="1"/>
  <c r="G11" i="2" l="1"/>
  <c r="H13" i="2"/>
  <c r="I9" i="1"/>
  <c r="J9" i="4"/>
  <c r="A2" i="2" l="1"/>
  <c r="A4" i="2"/>
  <c r="A3" i="2"/>
  <c r="B5" i="4"/>
  <c r="B4" i="4"/>
  <c r="B3" i="4"/>
  <c r="I10" i="1" l="1"/>
  <c r="J9" i="1"/>
  <c r="A8" i="4"/>
  <c r="A10" i="4"/>
  <c r="B10" i="4"/>
  <c r="C10" i="4"/>
  <c r="D10" i="4"/>
  <c r="E10" i="4"/>
  <c r="E9" i="4"/>
  <c r="D9" i="4"/>
  <c r="C9" i="4"/>
  <c r="B9" i="4"/>
  <c r="A9" i="4"/>
  <c r="B8" i="4"/>
  <c r="J10" i="1" l="1"/>
  <c r="E9" i="2"/>
  <c r="F9" i="2" s="1"/>
  <c r="J8" i="1" l="1"/>
  <c r="J42" i="1" s="1"/>
  <c r="E7" i="2" l="1"/>
  <c r="H10" i="1"/>
  <c r="E14" i="2" l="1"/>
  <c r="F7" i="2"/>
  <c r="H2" i="4"/>
  <c r="H1" i="4"/>
  <c r="H9" i="1" l="1"/>
  <c r="H8" i="1" l="1"/>
  <c r="H42" i="1" s="1"/>
  <c r="D5" i="5" l="1"/>
  <c r="E8" i="2"/>
  <c r="E6" i="2"/>
  <c r="E10" i="2" l="1"/>
  <c r="E12" i="2"/>
  <c r="F18" i="5"/>
  <c r="G18" i="5" s="1"/>
  <c r="G19" i="5" l="1"/>
  <c r="H18" i="5"/>
  <c r="I18" i="5" s="1"/>
  <c r="I19" i="5" s="1"/>
</calcChain>
</file>

<file path=xl/sharedStrings.xml><?xml version="1.0" encoding="utf-8"?>
<sst xmlns="http://schemas.openxmlformats.org/spreadsheetml/2006/main" count="290" uniqueCount="203">
  <si>
    <t xml:space="preserve">UN </t>
  </si>
  <si>
    <t>CÓDIGO</t>
  </si>
  <si>
    <t>ITEM</t>
  </si>
  <si>
    <t>DISCRIMINAÇÃO</t>
  </si>
  <si>
    <t>QUANT.</t>
  </si>
  <si>
    <t>PREÇO DE CUSTO</t>
  </si>
  <si>
    <t>PR. TOTAL</t>
  </si>
  <si>
    <t>PLANILHA DE CUSTOS</t>
  </si>
  <si>
    <t>(1 - (I + CPRB))</t>
  </si>
  <si>
    <t>Observação:
Composição do BDI conforme parâmetros do Acórdão
2622/2013 do TCU</t>
  </si>
  <si>
    <t>CRONOGRAMA FÍSICO-FINANCEIRO</t>
  </si>
  <si>
    <t>ETAPAS/DESCRIÇÃO</t>
  </si>
  <si>
    <t>FÍSICO/ FINANCEIRO</t>
  </si>
  <si>
    <t>TOTAL  ETAPAS</t>
  </si>
  <si>
    <t>MÊS 1</t>
  </si>
  <si>
    <t>TOTAL</t>
  </si>
  <si>
    <t>Físico %</t>
  </si>
  <si>
    <t>Financeiro</t>
  </si>
  <si>
    <t>1.1</t>
  </si>
  <si>
    <t>BDI=</t>
  </si>
  <si>
    <t>____________________________________</t>
  </si>
  <si>
    <t>LIMPEZA FINAL PARA ENTREGA DA OBRA</t>
  </si>
  <si>
    <t>MEMÓRIA DE CÁLCULO</t>
  </si>
  <si>
    <t>DESCRIÇÃO</t>
  </si>
  <si>
    <t>FÓRMULA</t>
  </si>
  <si>
    <t>QUANTIDADE</t>
  </si>
  <si>
    <t>m</t>
  </si>
  <si>
    <t>m²</t>
  </si>
  <si>
    <t>JOÃO RAFAEL BUENO DE MORAIS LOPES</t>
  </si>
  <si>
    <t>CREA-MG:235527/D</t>
  </si>
  <si>
    <t xml:space="preserve">PRAZO </t>
  </si>
  <si>
    <t>CREA/MG</t>
  </si>
  <si>
    <t>vb</t>
  </si>
  <si>
    <t>1.2</t>
  </si>
  <si>
    <t>comprimento x altura</t>
  </si>
  <si>
    <t>unidade</t>
  </si>
  <si>
    <t>-</t>
  </si>
  <si>
    <t>ANOTAÇÃO DE RESPONSABILIDADE TÉCNICA DE EXECUÇÃO / EMISSÃO DE CAT</t>
  </si>
  <si>
    <t>TOTAL POR PERÍODO</t>
  </si>
  <si>
    <t>OBS: 1) Todos os itens deverão estar completamente concluídos e dentro das especificações de projetos para medição da etapa.</t>
  </si>
  <si>
    <t>BDI</t>
  </si>
  <si>
    <t>_______________________________________________</t>
  </si>
  <si>
    <t>COMPOSIÇÃO DE BDI</t>
  </si>
  <si>
    <t xml:space="preserve"> </t>
  </si>
  <si>
    <t>SEM Desoneração: Digite S(sim) ou N(não)</t>
  </si>
  <si>
    <t>N</t>
  </si>
  <si>
    <t>COM Desoneração: Digite S(sim) ou N(não)</t>
  </si>
  <si>
    <t>S</t>
  </si>
  <si>
    <t>Garantia (G):</t>
  </si>
  <si>
    <t xml:space="preserve"> 0,80% a 1,00%</t>
  </si>
  <si>
    <t>Composição do BDI, intervalos admissíveis e Fórmula de cálculo nos termos do Acórdão 2622/2013 do TCU.</t>
  </si>
  <si>
    <t>Risco (R) :</t>
  </si>
  <si>
    <t>0,97% a 1,27%</t>
  </si>
  <si>
    <t>Desp. financeiras (DF):</t>
  </si>
  <si>
    <t>0,59% a 1,39%</t>
  </si>
  <si>
    <t>Adm. Central (AC):</t>
  </si>
  <si>
    <t>3,00% a 5,50%</t>
  </si>
  <si>
    <t>Lucro (L):</t>
  </si>
  <si>
    <t>6,16% a 8,96%</t>
  </si>
  <si>
    <t>CPRB:</t>
  </si>
  <si>
    <t>Tributos (T):</t>
  </si>
  <si>
    <t>VALORES (R$)</t>
  </si>
  <si>
    <t>DESCRIÇÃO DOS SERVIÇOS</t>
  </si>
  <si>
    <t xml:space="preserve">UND. </t>
  </si>
  <si>
    <t>TOTAL ITEM</t>
  </si>
  <si>
    <t>VALOR TOTAL DO EMPREENDIMENTO</t>
  </si>
  <si>
    <t>UNITÁRIO S/ BDI</t>
  </si>
  <si>
    <t>UNITÁRIO C/BDI</t>
  </si>
  <si>
    <t>1,50 x 3,00</t>
  </si>
  <si>
    <t xml:space="preserve">ENGENHEIRO CIVIL </t>
  </si>
  <si>
    <t>CREA - 235.527/D</t>
  </si>
  <si>
    <t>OBS: 1) Todos os itens deverão estar completamente concluídos e dentro das especificações de projetos para medição da etapa. Os materiais empregados, deverão rigorosamente seguir as especificações de qualidade destacadas na presente planilha.</t>
  </si>
  <si>
    <t>PREÇO DE CUSTO COM BDI</t>
  </si>
  <si>
    <t xml:space="preserve">SERVIÇOS PRELIMINARES </t>
  </si>
  <si>
    <t>VALOR TOTAL GLOBAL</t>
  </si>
  <si>
    <t>Sudecap (Construção)</t>
  </si>
  <si>
    <r>
      <t xml:space="preserve"> </t>
    </r>
    <r>
      <rPr>
        <b/>
        <u/>
        <sz val="12"/>
        <color rgb="FF000000"/>
        <rFont val="Arial"/>
        <family val="2"/>
      </rPr>
      <t>1 + (AC + S + G + R)) x (1 + DF) x (1 + L)</t>
    </r>
  </si>
  <si>
    <t>PR. UNIT.</t>
  </si>
  <si>
    <t>JOÃO RAFAEL BUENO DE MORAIS LOPES
CREA-MG:235527/D</t>
  </si>
  <si>
    <t>01.03.03</t>
  </si>
  <si>
    <t xml:space="preserve"> PLACA DE OBRA EM CHAPA GALVANIZADA ADESIVADA, DIMENSÕES  2,40 X 1,20 M, PADRÃO CE</t>
  </si>
  <si>
    <t>2.1</t>
  </si>
  <si>
    <t>3.2</t>
  </si>
  <si>
    <t>2.2</t>
  </si>
  <si>
    <t>3.4</t>
  </si>
  <si>
    <t>3.5</t>
  </si>
  <si>
    <t>SINAPI (sintético)</t>
  </si>
  <si>
    <t>2.4</t>
  </si>
  <si>
    <t>4.1</t>
  </si>
  <si>
    <t>2.5</t>
  </si>
  <si>
    <t>3.3</t>
  </si>
  <si>
    <t>COMPOSIÇÃO EM NOVEMBRO DE 2024</t>
  </si>
  <si>
    <t>LOCAL:  RUA 25 DE DEZEMBRO, 760, CENTRO, ARCOS-MG</t>
  </si>
  <si>
    <t>MÊS 2</t>
  </si>
  <si>
    <t>45 DIAS</t>
  </si>
  <si>
    <t>ORGÃO GESTOR: CÂMARA MUNICIPAL DE ARCOS</t>
  </si>
  <si>
    <t>DATA: NOV/2024</t>
  </si>
  <si>
    <t>ÓRGÃO: CÂMARA MUNICIPAL DOS VEREADORES DE ARCOS</t>
  </si>
  <si>
    <t>ESCOPO: REFORMA DA COBERTURA DA CÂMARA MUNICIPAL DE ARCOS</t>
  </si>
  <si>
    <t>DEMOLIÇÃO E AFASTAMENTOS</t>
  </si>
  <si>
    <t>un</t>
  </si>
  <si>
    <t>Área das coberturas</t>
  </si>
  <si>
    <t xml:space="preserve">Cobertura do Plenário = 174,56 m²
Cobertura principal da Câmara = 387,21 m²
Acréscimo de 5% de margem </t>
  </si>
  <si>
    <t>RECUPERAÇÃO DA COBERTURA</t>
  </si>
  <si>
    <t>TELHAMENTO COM TELHA METÁLICA TERMOACÚSTICA E = 30 MM, INCLUSO IÇAMENTO</t>
  </si>
  <si>
    <t>RECUPERAÇÃO DE FORRO DE GESSO E PINTURA</t>
  </si>
  <si>
    <t>REMOÇÃO DE FORRO DE GESSO, DE FORMA MANUAL, SEM REAPROVEITAMENTO.</t>
  </si>
  <si>
    <t>FORRO EM PLACAS DE GESSO, PARA AMBIENTES COMERCIAIS</t>
  </si>
  <si>
    <t>EMASSAMENTO COM MASSA LÁTEX, APLICAÇÃO EM TETO, UMA DEMÃO, LIXAMENTO</t>
  </si>
  <si>
    <t>PINTURA LÁTEX ACRÍLICA PREMIUM, APLICAÇÃO MANUAL EM TETO, DUAS DEMÃOS</t>
  </si>
  <si>
    <t>kg</t>
  </si>
  <si>
    <t>CONTRAVENTAMENTO COM BARRA REDONDA DIÂMETRO , ABAS IGUAIS, COM CONEXÕES SOLDADAS, INCLUSOS MÃO DE OBRA, TRANSPORTE E IÇAMENTO UTILIZANDO TALHA MANUAL, PARA EDIFÍCIOS DE ATÉ 2 PAVIMENTOS - FORNECIMENTO E INSTALAÇÃO.</t>
  </si>
  <si>
    <t>REMOÇÃO DE UNIDADES CONDENSADORAS DE AR CONDICIONADO DE 64.000 BTUS PARA DEMOLIÇÃO DAS PLATIBANDAS DA COBERTURA DO PLENÁRIO INCLUSIVE HIGIENIZAÇÃO E LIMPEZA DAS EVAPORADORAS E CONDENSADORAS</t>
  </si>
  <si>
    <t>REMOÇÃO DE UNIDADES CONDENSADORAS DE AR CONDICIONADO DE 9.000 A 18.000 BTUS PARA TRATAMENTO DAS PLATIBANDAS DA COBERTURA DO PRINCIPAL INCLUSIVE HIGIENIZAÇÃO E LIMPEZA DAS EVAPORADORAS E CONDENSADORAS</t>
  </si>
  <si>
    <t>REMOÇÃO DE TELHAS METÁLICAS TIPO SANDUICHE, DE FORMA MECANIZADA, COM USO DE GUINDASTE, SEM REAPROVEITAMENTO.</t>
  </si>
  <si>
    <t>comprimento das calhas</t>
  </si>
  <si>
    <t>Comprimento dos rufos</t>
  </si>
  <si>
    <t>Telhado principal: 
13,64+19,68+4,22+13,53+3,6+13,31= 67,98m de rufo
Telhado Plenário:
19,51+31,43= 50,94m de rufo</t>
  </si>
  <si>
    <t>Quantidade de condensadoras</t>
  </si>
  <si>
    <t>Telhado principal: 
34,83+13,64
Telhado Plenário:
30,14m de calha</t>
  </si>
  <si>
    <t>Área do telhado</t>
  </si>
  <si>
    <t>comprimento dos rufos</t>
  </si>
  <si>
    <t>2.3</t>
  </si>
  <si>
    <t>2.6</t>
  </si>
  <si>
    <t>RUFO EM CHAPA DE AÇO GALVANIZADO NÚMERO 24, CORTE DE 25 CM, INCLUSO TRANSPORTE VERTICAL.</t>
  </si>
  <si>
    <t>01.29.06</t>
  </si>
  <si>
    <t>01.29.11</t>
  </si>
  <si>
    <t>01.29.12</t>
  </si>
  <si>
    <t>3.1</t>
  </si>
  <si>
    <t>3.6</t>
  </si>
  <si>
    <t>3.7</t>
  </si>
  <si>
    <t>4.2</t>
  </si>
  <si>
    <t>4.3</t>
  </si>
  <si>
    <t>4.4</t>
  </si>
  <si>
    <t>4.5</t>
  </si>
  <si>
    <t>4.6</t>
  </si>
  <si>
    <t>4.7</t>
  </si>
  <si>
    <t>Área de reforma</t>
  </si>
  <si>
    <t>Área do gesso danificado</t>
  </si>
  <si>
    <t>5 plataformas com 5 metros de altura 
5x1,5x5</t>
  </si>
  <si>
    <t>Data-Base: SINAPI/DEZ 2024 -  SUDECAP/OUT 2024 - SETOP/JUL 2024</t>
  </si>
  <si>
    <t>REMOÇÃO DE CALHAS E RUFOS, DE FORMA MANUAL, SEM REAPROVEITAMENTO - Rufos</t>
  </si>
  <si>
    <t>REMOÇÃO DE CALHAS E RUFOS, DE FORMA MANUAL, SEM REAPROVEITAMENTO - Calhas</t>
  </si>
  <si>
    <t>Setop</t>
  </si>
  <si>
    <t xml:space="preserve"> ED-52311</t>
  </si>
  <si>
    <t>MANTA ISOLANTE/TÉRMICA PARA TELHADO, EXCLUSIVE CONTACAIBRO</t>
  </si>
  <si>
    <t>Sinapi (Insumos)</t>
  </si>
  <si>
    <t>SELANTE TIPO VEDA CALHA PARA METAL E FIBROCIMENTO</t>
  </si>
  <si>
    <t>Kg</t>
  </si>
  <si>
    <t>TUBO PVC SERIE NORMAL, DN 100 MM, PARA ESGOTO PREDIAL (NBR 5688)</t>
  </si>
  <si>
    <t>JOELHO PVC, SOLDAVEL, PB, 90 GRAUS, DN 100 MM, PARA ESGOTO PREDIAL</t>
  </si>
  <si>
    <t>ED-48435</t>
  </si>
  <si>
    <t>m³</t>
  </si>
  <si>
    <t>ABRACADEIRA EM ACO PARA AMARRACAO DE ELETRODUTOS, TIPO U SIMPLES, COM 4"</t>
  </si>
  <si>
    <t>h de 8m para cobertura principal
h de 6,5 para cobertura do plenário</t>
  </si>
  <si>
    <t>considerando 3 desvios em cada tubulação</t>
  </si>
  <si>
    <t>Considerando 5 peças e cada tubulação</t>
  </si>
  <si>
    <t xml:space="preserve"> ED-48454</t>
  </si>
  <si>
    <t>Altura da calha</t>
  </si>
  <si>
    <t>quantidade de curvas do tubo</t>
  </si>
  <si>
    <t>área do corte x espessura da parede x quantidade de furos</t>
  </si>
  <si>
    <t>Necessidade de fixação</t>
  </si>
  <si>
    <t>0,15 x 0,15 x 0,25 x 2</t>
  </si>
  <si>
    <t>DEMOLIÇÃO MANUAL DE ALVENARIA DE TIJOLO CERÂMICO OU BLOCO DE CONCRETO, INCLUSIVE AFASTAMENTO E EMPILHAMENTO, EXCLUSIVE TRANSPORTE E RETIRADA DO MATERIAL DEMOLIDO</t>
  </si>
  <si>
    <t>REMOCAO DAS UNIDADES DE PLACAS FOTOVOLTAICAS, INCLUSIVE ESTRUTURA E REMONTAGEM, EXCLUSIVE IÇAMENTO E TRASNPORTE DAS PLACAS</t>
  </si>
  <si>
    <t>2.7</t>
  </si>
  <si>
    <t>Retirada das placas e estrutura para laje lateral e remontagem</t>
  </si>
  <si>
    <t>REMOÇÃO MANUAL DE ENGRADAMENTO PARA TELHA TIPO METÁLICA, PVC OU FIBROCIMENTO, COM REAPROVEITAMENTO, INCLUSIVE AFASTAMENTO E EMPILHAMENTO, EXCLUSIVE TRANSPORTE E RETIRADA DO MATERIAL REMOVIDO NÃO REAPROVEITÁVEL</t>
  </si>
  <si>
    <t>3.8</t>
  </si>
  <si>
    <t>3.9</t>
  </si>
  <si>
    <t>3.10</t>
  </si>
  <si>
    <t>3.11</t>
  </si>
  <si>
    <t>Área do gesso danificado + área do telhado a ser trocado</t>
  </si>
  <si>
    <t>área interna das platibandas</t>
  </si>
  <si>
    <t>Área das junções dos rufos e calhas</t>
  </si>
  <si>
    <t>Peso x quantidade de barras de 6m</t>
  </si>
  <si>
    <t>Peso x metragem das peças</t>
  </si>
  <si>
    <r>
      <rPr>
        <b/>
        <sz val="12"/>
        <color theme="1"/>
        <rFont val="Arial"/>
        <family val="2"/>
      </rPr>
      <t xml:space="preserve">Cobertura Principal: 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C 250x85x25 #3.00:</t>
    </r>
    <r>
      <rPr>
        <sz val="12"/>
        <color theme="1"/>
        <rFont val="Arial"/>
        <family val="2"/>
      </rPr>
      <t xml:space="preserve"> 34,83+35,12+35,47+35,81+36,16+36,5+28,66+18,65+4,26)/6 x 66,13
</t>
    </r>
    <r>
      <rPr>
        <b/>
        <sz val="12"/>
        <color theme="1"/>
        <rFont val="Arial"/>
        <family val="2"/>
      </rPr>
      <t xml:space="preserve">Cobertura Plenário: 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C 250x85x25 #3.00:</t>
    </r>
    <r>
      <rPr>
        <sz val="12"/>
        <color theme="1"/>
        <rFont val="Arial"/>
        <family val="2"/>
      </rPr>
      <t xml:space="preserve"> 26,18+22,24+18,29+14,34+10,43+6,54+2,64)/6 x  66,13</t>
    </r>
  </si>
  <si>
    <t>SINAPI (insumos)</t>
  </si>
  <si>
    <t>h</t>
  </si>
  <si>
    <t>horas gastas para montar o telhado</t>
  </si>
  <si>
    <t>Extensão das calhas / 3m x peso da chapa (35,32 kg)</t>
  </si>
  <si>
    <t>Com base na composição 94229 , é necessário 0,54h por m de calha
Então:
(30,14+34,64+13,64) x 0,54</t>
  </si>
  <si>
    <t>3.12</t>
  </si>
  <si>
    <r>
      <rPr>
        <b/>
        <sz val="12"/>
        <color theme="1"/>
        <rFont val="Arial"/>
        <family val="2"/>
      </rPr>
      <t>Calhas do Plenário =</t>
    </r>
    <r>
      <rPr>
        <sz val="12"/>
        <color theme="1"/>
        <rFont val="Arial"/>
        <family val="2"/>
      </rPr>
      <t xml:space="preserve"> 30,14/3 x 35,32
</t>
    </r>
    <r>
      <rPr>
        <b/>
        <sz val="12"/>
        <color theme="1"/>
        <rFont val="Arial"/>
        <family val="2"/>
      </rPr>
      <t xml:space="preserve">Calhas da Cobertura principal = </t>
    </r>
    <r>
      <rPr>
        <sz val="12"/>
        <color theme="1"/>
        <rFont val="Arial"/>
        <family val="2"/>
      </rPr>
      <t xml:space="preserve">34,64/3 x 35,32 
</t>
    </r>
    <r>
      <rPr>
        <b/>
        <sz val="12"/>
        <color theme="1"/>
        <rFont val="Arial"/>
        <family val="2"/>
      </rPr>
      <t>Calha furtada da cobertura principal =</t>
    </r>
    <r>
      <rPr>
        <sz val="12"/>
        <color theme="1"/>
        <rFont val="Arial"/>
        <family val="2"/>
      </rPr>
      <t xml:space="preserve"> 13,64/3 x 35,32</t>
    </r>
  </si>
  <si>
    <r>
      <rPr>
        <b/>
        <sz val="12"/>
        <color theme="1"/>
        <rFont val="Arial"/>
        <family val="2"/>
      </rPr>
      <t>Cobertura do Plenário =</t>
    </r>
    <r>
      <rPr>
        <sz val="12"/>
        <color theme="1"/>
        <rFont val="Arial"/>
        <family val="2"/>
      </rPr>
      <t xml:space="preserve"> 174,56 m²
</t>
    </r>
    <r>
      <rPr>
        <b/>
        <sz val="12"/>
        <color theme="1"/>
        <rFont val="Arial"/>
        <family val="2"/>
      </rPr>
      <t xml:space="preserve">Cobertura principal da Câmara = </t>
    </r>
    <r>
      <rPr>
        <sz val="12"/>
        <color theme="1"/>
        <rFont val="Arial"/>
        <family val="2"/>
      </rPr>
      <t xml:space="preserve">387,21 m²
Acréscimo de 5% de margem </t>
    </r>
  </si>
  <si>
    <r>
      <rPr>
        <b/>
        <sz val="12"/>
        <color theme="1"/>
        <rFont val="Arial"/>
        <family val="2"/>
      </rPr>
      <t xml:space="preserve">Telhado principal: </t>
    </r>
    <r>
      <rPr>
        <sz val="12"/>
        <color theme="1"/>
        <rFont val="Arial"/>
        <family val="2"/>
      </rPr>
      <t xml:space="preserve">
13,64+19,68+4,22+13,53+3,6+13,31= 67,98m de rufo
</t>
    </r>
    <r>
      <rPr>
        <b/>
        <sz val="12"/>
        <color theme="1"/>
        <rFont val="Arial"/>
        <family val="2"/>
      </rPr>
      <t>Telhado Plenário:</t>
    </r>
    <r>
      <rPr>
        <sz val="12"/>
        <color theme="1"/>
        <rFont val="Arial"/>
        <family val="2"/>
      </rPr>
      <t xml:space="preserve">
19,51+31,43= 50,94m de rufo</t>
    </r>
  </si>
  <si>
    <r>
      <rPr>
        <b/>
        <sz val="12"/>
        <color theme="1"/>
        <rFont val="Arial"/>
        <family val="2"/>
      </rPr>
      <t xml:space="preserve">Plenário: </t>
    </r>
    <r>
      <rPr>
        <sz val="12"/>
        <color theme="1"/>
        <rFont val="Arial"/>
        <family val="2"/>
      </rPr>
      <t xml:space="preserve">30,14 x 1,28 + 31,45 x 0,9 + ((3,88+2,36)x19,5)/2
</t>
    </r>
    <r>
      <rPr>
        <b/>
        <sz val="12"/>
        <color theme="1"/>
        <rFont val="Arial"/>
        <family val="2"/>
      </rPr>
      <t xml:space="preserve">Telhado principal: </t>
    </r>
    <r>
      <rPr>
        <sz val="12"/>
        <color theme="1"/>
        <rFont val="Arial"/>
        <family val="2"/>
      </rPr>
      <t>1,5 x 38,43 + ((1,1+1,44) x 13,64) /2 + 19,68 x 1,12 + 3,74 x 1,72 + ((1,12+1,72) x 12,82)/2 x 1,1</t>
    </r>
  </si>
  <si>
    <r>
      <rPr>
        <b/>
        <sz val="12"/>
        <color theme="1"/>
        <rFont val="Arial"/>
        <family val="2"/>
      </rPr>
      <t xml:space="preserve">Calha Principal: </t>
    </r>
    <r>
      <rPr>
        <sz val="12"/>
        <color theme="1"/>
        <rFont val="Arial"/>
        <family val="2"/>
      </rPr>
      <t xml:space="preserve">(0,54+0,22)x3= 2,28
</t>
    </r>
    <r>
      <rPr>
        <b/>
        <sz val="12"/>
        <color theme="1"/>
        <rFont val="Arial"/>
        <family val="2"/>
      </rPr>
      <t xml:space="preserve">Rufo Principal: </t>
    </r>
    <r>
      <rPr>
        <sz val="12"/>
        <color theme="1"/>
        <rFont val="Arial"/>
        <family val="2"/>
      </rPr>
      <t xml:space="preserve">(0,54+0,37) x 24= 21,84
</t>
    </r>
    <r>
      <rPr>
        <b/>
        <sz val="12"/>
        <color theme="1"/>
        <rFont val="Arial"/>
        <family val="2"/>
      </rPr>
      <t xml:space="preserve">Rufo Plenário: </t>
    </r>
    <r>
      <rPr>
        <sz val="12"/>
        <color theme="1"/>
        <rFont val="Arial"/>
        <family val="2"/>
      </rPr>
      <t xml:space="preserve">(0,57+0,3) x 9= 7,83
</t>
    </r>
    <r>
      <rPr>
        <b/>
        <sz val="12"/>
        <color theme="1"/>
        <rFont val="Arial"/>
        <family val="2"/>
      </rPr>
      <t xml:space="preserve">Calha Plenário: </t>
    </r>
    <r>
      <rPr>
        <sz val="12"/>
        <color theme="1"/>
        <rFont val="Arial"/>
        <family val="2"/>
      </rPr>
      <t>(0,27 + 0,55) x 6=4,92
Considerando rendimento de 10m com um cordão de 40mm</t>
    </r>
  </si>
  <si>
    <t>Cotação - média</t>
  </si>
  <si>
    <t>TELHADOR / TELHADISTA (HORISTA)</t>
  </si>
  <si>
    <t>Climaforte
Arconfrio</t>
  </si>
  <si>
    <t>Gabinete 01: 0,25m²
Gabinete 02: 0,27m²
Sala de Som: 0,39m²
 Gabinete 04: 0,39m²
Assessoria Jurídica: 0,21m²
Hall de entrada: 27,39m²
Mezanino: 2,3m²
Plenário: 2,9m²
Área de cobertura: 589,86m²</t>
  </si>
  <si>
    <t>Solar Brazil
Eletrovan
Lions Elétrica</t>
  </si>
  <si>
    <t>VIGA METÁLICA EM PERFIL LAMINADO OU SOLDADO EM AÇO ESTRUTURAL, COM CONEXÕES SOLDADAS, INCLUSOS MÃO DE OBRA, TRANSPORTE E IÇAMENTO UTILIZANDO GUINDASTE - FORNECIMENTO E INSTALAÇÃO DESTINADO A TODOS OS COMPONENTES EM ESTRUTURAS METALICAS PARA ENGRADAMENTO, PRESILHAS SUPORTES E DEMAIS ITENS DO PROJETO ESTRUTURAL</t>
  </si>
  <si>
    <r>
      <rPr>
        <b/>
        <sz val="12"/>
        <color theme="1"/>
        <rFont val="Arial"/>
        <family val="2"/>
      </rPr>
      <t>Cobertura Principal:
Cantoneira em L 3/16:</t>
    </r>
    <r>
      <rPr>
        <sz val="12"/>
        <color theme="1"/>
        <rFont val="Arial"/>
        <family val="2"/>
      </rPr>
      <t xml:space="preserve"> ((490+517+490+517+517+517+547+576+576+605+700+700+(713*10)+691*2+(704*10)) * 1,1) x 9,20
</t>
    </r>
    <r>
      <rPr>
        <b/>
        <sz val="12"/>
        <color theme="1"/>
        <rFont val="Arial"/>
        <family val="2"/>
      </rPr>
      <t>Plenário: 
Cantoneira em L 3/16:</t>
    </r>
    <r>
      <rPr>
        <sz val="12"/>
        <color theme="1"/>
        <rFont val="Arial"/>
        <family val="2"/>
      </rPr>
      <t xml:space="preserve"> ((492+492+481+481+460+460+509*4+522*10))*1,1) x 9,20</t>
    </r>
  </si>
  <si>
    <t>ED-50653</t>
  </si>
  <si>
    <t xml:space="preserve">CALHA EM CHAPA GALVANIZADA, ESP. 0,8MM (GSG-22), COM DESENVOLVIMENTO DE 100CM, INCLUSIVE IÇAMENTO MANUAL  VERTICAL
</t>
  </si>
  <si>
    <t xml:space="preserve">MONTAGEM DE ANDAIME DO TIPO TORRE ADP REF 97064 CONSIDERANDO 6 PONTOS </t>
  </si>
  <si>
    <t xml:space="preserve">DESMONTAGEM DE ANDAIME DO TIPO TORRE ADP REF 97064 CONSIDERANDO 6 PONTOS </t>
  </si>
  <si>
    <t>5 plataformas com 5 metros de altura em 6 pontos 
5x1,5x5X6</t>
  </si>
  <si>
    <t>ANDAIME METÁLICO TIPO FACHADEIRO, INCLUINDO SAPATAS AJUSTÁVEIS, PISO METÁLICO E ESCADA PARA 1 MÊS</t>
  </si>
  <si>
    <t>Gabinete 01: 0,25m²
Gabinete 02: 0,27m²
Sala de Som: 0,39m²
 Gabinete 04: 0,39m²
Assessoria Jurídica: 0,21m²
Hall de entrada: 27,39m²
Mezanino: 2,3m²
Plenário: 2,9m²
40% PARA DSICREPÂNCIA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</si>
</sst>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  <numFmt numFmtId="166" formatCode="_(* #,##0.00_);_(* \(#,##0.00\);_(* \-??_);_(@_)"/>
    <numFmt numFmtId="167" formatCode="0.000"/>
  </numFmts>
  <fonts count="2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ill="0" applyBorder="0" applyAlignment="0" applyProtection="0"/>
    <xf numFmtId="9" fontId="6" fillId="0" borderId="0" applyFill="0" applyBorder="0" applyAlignment="0" applyProtection="0"/>
  </cellStyleXfs>
  <cellXfs count="324">
    <xf numFmtId="0" fontId="0" fillId="0" borderId="0" xfId="0"/>
    <xf numFmtId="10" fontId="6" fillId="3" borderId="51" xfId="0" applyNumberFormat="1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14" fillId="5" borderId="5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5" fillId="3" borderId="58" xfId="0" applyNumberFormat="1" applyFont="1" applyFill="1" applyBorder="1" applyAlignment="1">
      <alignment horizontal="center" vertical="center" wrapText="1"/>
    </xf>
    <xf numFmtId="49" fontId="5" fillId="3" borderId="59" xfId="0" applyNumberFormat="1" applyFont="1" applyFill="1" applyBorder="1" applyAlignment="1">
      <alignment horizontal="center" vertical="center" wrapText="1"/>
    </xf>
    <xf numFmtId="164" fontId="7" fillId="3" borderId="56" xfId="0" applyNumberFormat="1" applyFont="1" applyFill="1" applyBorder="1" applyAlignment="1">
      <alignment horizontal="center" vertical="center" wrapText="1"/>
    </xf>
    <xf numFmtId="164" fontId="5" fillId="5" borderId="56" xfId="0" applyNumberFormat="1" applyFont="1" applyFill="1" applyBorder="1" applyAlignment="1">
      <alignment vertical="center" wrapText="1"/>
    </xf>
    <xf numFmtId="49" fontId="5" fillId="3" borderId="60" xfId="0" applyNumberFormat="1" applyFont="1" applyFill="1" applyBorder="1" applyAlignment="1">
      <alignment horizontal="center" vertical="center" wrapText="1"/>
    </xf>
    <xf numFmtId="49" fontId="5" fillId="3" borderId="61" xfId="0" applyNumberFormat="1" applyFont="1" applyFill="1" applyBorder="1" applyAlignment="1">
      <alignment horizontal="center" vertical="center" wrapText="1"/>
    </xf>
    <xf numFmtId="164" fontId="7" fillId="3" borderId="5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0" fillId="0" borderId="21" xfId="0" applyBorder="1"/>
    <xf numFmtId="0" fontId="0" fillId="0" borderId="43" xfId="0" applyBorder="1"/>
    <xf numFmtId="0" fontId="16" fillId="0" borderId="1" xfId="0" applyFont="1" applyBorder="1" applyAlignment="1">
      <alignment vertical="center"/>
    </xf>
    <xf numFmtId="43" fontId="16" fillId="0" borderId="1" xfId="4" applyFont="1" applyBorder="1" applyAlignment="1">
      <alignment horizontal="right" vertical="center"/>
    </xf>
    <xf numFmtId="10" fontId="16" fillId="0" borderId="1" xfId="3" applyNumberFormat="1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43" fontId="16" fillId="0" borderId="0" xfId="4" applyFont="1" applyBorder="1" applyAlignment="1">
      <alignment horizontal="right" vertical="center"/>
    </xf>
    <xf numFmtId="9" fontId="16" fillId="0" borderId="0" xfId="3" applyFont="1" applyBorder="1" applyAlignment="1">
      <alignment horizontal="left" vertical="center"/>
    </xf>
    <xf numFmtId="10" fontId="3" fillId="7" borderId="1" xfId="0" applyNumberFormat="1" applyFont="1" applyFill="1" applyBorder="1" applyAlignment="1">
      <alignment horizontal="center"/>
    </xf>
    <xf numFmtId="10" fontId="3" fillId="0" borderId="22" xfId="3" applyNumberFormat="1" applyFont="1" applyFill="1" applyBorder="1" applyAlignment="1"/>
    <xf numFmtId="10" fontId="0" fillId="0" borderId="1" xfId="0" applyNumberFormat="1" applyBorder="1" applyAlignment="1">
      <alignment horizontal="center"/>
    </xf>
    <xf numFmtId="0" fontId="16" fillId="8" borderId="1" xfId="0" applyFont="1" applyFill="1" applyBorder="1" applyAlignment="1">
      <alignment vertical="center"/>
    </xf>
    <xf numFmtId="0" fontId="16" fillId="8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>
      <alignment vertical="center" wrapText="1"/>
    </xf>
    <xf numFmtId="4" fontId="3" fillId="9" borderId="1" xfId="0" applyNumberFormat="1" applyFont="1" applyFill="1" applyBorder="1" applyAlignment="1">
      <alignment horizontal="right"/>
    </xf>
    <xf numFmtId="0" fontId="0" fillId="0" borderId="33" xfId="0" applyBorder="1"/>
    <xf numFmtId="164" fontId="3" fillId="9" borderId="1" xfId="0" applyNumberFormat="1" applyFont="1" applyFill="1" applyBorder="1" applyAlignment="1">
      <alignment horizontal="right"/>
    </xf>
    <xf numFmtId="164" fontId="3" fillId="9" borderId="22" xfId="0" applyNumberFormat="1" applyFont="1" applyFill="1" applyBorder="1" applyAlignment="1">
      <alignment horizontal="right"/>
    </xf>
    <xf numFmtId="164" fontId="0" fillId="0" borderId="1" xfId="1" applyNumberFormat="1" applyFont="1" applyFill="1" applyBorder="1" applyAlignment="1">
      <alignment vertical="center" wrapText="1"/>
    </xf>
    <xf numFmtId="164" fontId="0" fillId="0" borderId="1" xfId="1" applyNumberFormat="1" applyFont="1" applyBorder="1" applyAlignment="1">
      <alignment horizontal="right" vertical="center"/>
    </xf>
    <xf numFmtId="164" fontId="3" fillId="0" borderId="22" xfId="1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164" fontId="7" fillId="3" borderId="62" xfId="0" applyNumberFormat="1" applyFont="1" applyFill="1" applyBorder="1" applyAlignment="1">
      <alignment horizontal="center" vertical="center" wrapText="1"/>
    </xf>
    <xf numFmtId="10" fontId="3" fillId="9" borderId="1" xfId="0" applyNumberFormat="1" applyFont="1" applyFill="1" applyBorder="1" applyAlignment="1">
      <alignment horizontal="center"/>
    </xf>
    <xf numFmtId="4" fontId="16" fillId="0" borderId="1" xfId="0" applyNumberFormat="1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0" xfId="0" applyFont="1"/>
    <xf numFmtId="0" fontId="26" fillId="0" borderId="2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7" fillId="0" borderId="0" xfId="0" applyFont="1"/>
    <xf numFmtId="10" fontId="21" fillId="0" borderId="22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4" fontId="2" fillId="2" borderId="47" xfId="0" applyNumberFormat="1" applyFont="1" applyFill="1" applyBorder="1" applyAlignment="1">
      <alignment horizontal="right" vertical="center" wrapText="1"/>
    </xf>
    <xf numFmtId="164" fontId="2" fillId="2" borderId="14" xfId="0" applyNumberFormat="1" applyFont="1" applyFill="1" applyBorder="1" applyAlignment="1">
      <alignment horizontal="right" vertical="center" wrapText="1"/>
    </xf>
    <xf numFmtId="164" fontId="2" fillId="2" borderId="62" xfId="0" applyNumberFormat="1" applyFont="1" applyFill="1" applyBorder="1" applyAlignment="1">
      <alignment horizontal="right" vertical="center" wrapText="1"/>
    </xf>
    <xf numFmtId="0" fontId="26" fillId="0" borderId="0" xfId="0" applyFont="1"/>
    <xf numFmtId="164" fontId="26" fillId="0" borderId="36" xfId="1" applyNumberFormat="1" applyFont="1" applyBorder="1" applyAlignment="1">
      <alignment horizontal="right" vertical="center" wrapText="1"/>
    </xf>
    <xf numFmtId="164" fontId="26" fillId="0" borderId="36" xfId="0" applyNumberFormat="1" applyFont="1" applyBorder="1" applyAlignment="1">
      <alignment horizontal="right" vertical="center" wrapText="1"/>
    </xf>
    <xf numFmtId="164" fontId="26" fillId="0" borderId="51" xfId="0" applyNumberFormat="1" applyFont="1" applyBorder="1" applyAlignment="1">
      <alignment horizontal="right" vertical="center"/>
    </xf>
    <xf numFmtId="164" fontId="26" fillId="0" borderId="50" xfId="0" applyNumberFormat="1" applyFont="1" applyBorder="1" applyAlignment="1">
      <alignment horizontal="right" vertical="center"/>
    </xf>
    <xf numFmtId="164" fontId="26" fillId="0" borderId="1" xfId="1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/>
    </xf>
    <xf numFmtId="164" fontId="26" fillId="0" borderId="22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right" vertical="center" wrapText="1"/>
    </xf>
    <xf numFmtId="164" fontId="26" fillId="0" borderId="5" xfId="0" applyNumberFormat="1" applyFont="1" applyBorder="1" applyAlignment="1">
      <alignment horizontal="right" vertical="center"/>
    </xf>
    <xf numFmtId="164" fontId="26" fillId="0" borderId="25" xfId="0" applyNumberFormat="1" applyFont="1" applyBorder="1" applyAlignment="1">
      <alignment horizontal="right" vertical="center"/>
    </xf>
    <xf numFmtId="164" fontId="25" fillId="0" borderId="63" xfId="0" applyNumberFormat="1" applyFont="1" applyBorder="1" applyAlignment="1">
      <alignment horizontal="right" vertical="center"/>
    </xf>
    <xf numFmtId="164" fontId="25" fillId="0" borderId="29" xfId="0" applyNumberFormat="1" applyFont="1" applyBorder="1" applyAlignment="1">
      <alignment horizontal="right" vertical="center"/>
    </xf>
    <xf numFmtId="164" fontId="20" fillId="0" borderId="47" xfId="0" applyNumberFormat="1" applyFont="1" applyBorder="1" applyAlignment="1">
      <alignment horizontal="right" vertical="center"/>
    </xf>
    <xf numFmtId="0" fontId="22" fillId="0" borderId="20" xfId="0" applyFont="1" applyBorder="1"/>
    <xf numFmtId="0" fontId="28" fillId="0" borderId="0" xfId="2" applyFont="1"/>
    <xf numFmtId="0" fontId="22" fillId="0" borderId="0" xfId="0" applyFont="1" applyAlignment="1">
      <alignment horizontal="center" wrapText="1"/>
    </xf>
    <xf numFmtId="164" fontId="0" fillId="0" borderId="0" xfId="0" applyNumberFormat="1" applyAlignment="1">
      <alignment vertical="center"/>
    </xf>
    <xf numFmtId="0" fontId="26" fillId="0" borderId="36" xfId="0" applyFont="1" applyBorder="1" applyAlignment="1">
      <alignment horizontal="center" vertical="center" wrapText="1"/>
    </xf>
    <xf numFmtId="2" fontId="26" fillId="0" borderId="36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justify" vertical="center" wrapText="1"/>
    </xf>
    <xf numFmtId="0" fontId="20" fillId="0" borderId="63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justify" vertical="center" wrapText="1"/>
    </xf>
    <xf numFmtId="0" fontId="23" fillId="0" borderId="63" xfId="0" applyFont="1" applyBorder="1" applyAlignment="1">
      <alignment horizontal="center" vertical="center" wrapText="1"/>
    </xf>
    <xf numFmtId="44" fontId="23" fillId="0" borderId="63" xfId="1" applyFont="1" applyFill="1" applyBorder="1" applyAlignment="1">
      <alignment horizontal="right" vertical="center" wrapText="1"/>
    </xf>
    <xf numFmtId="0" fontId="4" fillId="10" borderId="21" xfId="0" applyFont="1" applyFill="1" applyBorder="1" applyAlignment="1">
      <alignment horizontal="center" vertical="center"/>
    </xf>
    <xf numFmtId="0" fontId="26" fillId="0" borderId="0" xfId="0" applyFont="1" applyAlignment="1">
      <alignment horizontal="justify" vertical="center" wrapText="1"/>
    </xf>
    <xf numFmtId="44" fontId="23" fillId="0" borderId="38" xfId="1" applyFont="1" applyFill="1" applyBorder="1" applyAlignment="1">
      <alignment horizontal="right" vertical="center" wrapText="1"/>
    </xf>
    <xf numFmtId="0" fontId="20" fillId="0" borderId="38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justify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/>
    </xf>
    <xf numFmtId="0" fontId="20" fillId="0" borderId="5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left" vertical="center" wrapText="1"/>
    </xf>
    <xf numFmtId="4" fontId="20" fillId="0" borderId="6" xfId="0" applyNumberFormat="1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left" vertical="center"/>
    </xf>
    <xf numFmtId="4" fontId="20" fillId="0" borderId="6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0" fillId="0" borderId="38" xfId="0" applyNumberFormat="1" applyFont="1" applyBorder="1" applyAlignment="1">
      <alignment horizontal="center" vertical="center"/>
    </xf>
    <xf numFmtId="4" fontId="20" fillId="0" borderId="42" xfId="0" applyNumberFormat="1" applyFont="1" applyBorder="1" applyAlignment="1">
      <alignment horizontal="center" vertical="center"/>
    </xf>
    <xf numFmtId="4" fontId="20" fillId="0" borderId="33" xfId="0" applyNumberFormat="1" applyFont="1" applyBorder="1" applyAlignment="1">
      <alignment horizontal="center" vertical="center"/>
    </xf>
    <xf numFmtId="4" fontId="20" fillId="0" borderId="39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21" xfId="0" applyFont="1" applyBorder="1" applyAlignment="1">
      <alignment horizontal="center" wrapText="1"/>
    </xf>
    <xf numFmtId="0" fontId="22" fillId="0" borderId="46" xfId="0" applyFont="1" applyBorder="1" applyAlignment="1">
      <alignment horizontal="center" wrapText="1"/>
    </xf>
    <xf numFmtId="0" fontId="22" fillId="0" borderId="33" xfId="0" applyFont="1" applyBorder="1" applyAlignment="1">
      <alignment horizontal="center" wrapText="1"/>
    </xf>
    <xf numFmtId="0" fontId="22" fillId="0" borderId="43" xfId="0" applyFont="1" applyBorder="1" applyAlignment="1">
      <alignment horizontal="center" wrapText="1"/>
    </xf>
    <xf numFmtId="2" fontId="25" fillId="0" borderId="1" xfId="0" applyNumberFormat="1" applyFont="1" applyBorder="1" applyAlignment="1">
      <alignment horizontal="center" vertical="center" wrapText="1"/>
    </xf>
    <xf numFmtId="2" fontId="25" fillId="0" borderId="5" xfId="0" applyNumberFormat="1" applyFont="1" applyBorder="1" applyAlignment="1">
      <alignment horizontal="center" vertical="center" wrapText="1"/>
    </xf>
    <xf numFmtId="2" fontId="25" fillId="0" borderId="2" xfId="0" applyNumberFormat="1" applyFont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2" fontId="25" fillId="0" borderId="13" xfId="0" applyNumberFormat="1" applyFont="1" applyBorder="1" applyAlignment="1">
      <alignment horizontal="center" vertical="center" wrapText="1"/>
    </xf>
    <xf numFmtId="2" fontId="25" fillId="0" borderId="48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/>
    </xf>
    <xf numFmtId="2" fontId="20" fillId="0" borderId="36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2" fontId="25" fillId="0" borderId="64" xfId="0" applyNumberFormat="1" applyFont="1" applyBorder="1" applyAlignment="1">
      <alignment horizontal="center" vertical="center" wrapText="1"/>
    </xf>
    <xf numFmtId="2" fontId="25" fillId="0" borderId="65" xfId="0" applyNumberFormat="1" applyFont="1" applyBorder="1" applyAlignment="1">
      <alignment horizontal="center" vertical="center" wrapText="1"/>
    </xf>
    <xf numFmtId="10" fontId="5" fillId="6" borderId="35" xfId="0" applyNumberFormat="1" applyFont="1" applyFill="1" applyBorder="1" applyAlignment="1">
      <alignment horizontal="center" vertical="center" wrapText="1"/>
    </xf>
    <xf numFmtId="10" fontId="5" fillId="6" borderId="37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justify" vertical="center" wrapText="1"/>
    </xf>
    <xf numFmtId="0" fontId="0" fillId="0" borderId="6" xfId="0" applyBorder="1" applyAlignment="1">
      <alignment horizontal="left"/>
    </xf>
    <xf numFmtId="4" fontId="16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10" fontId="0" fillId="7" borderId="1" xfId="0" applyNumberForma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4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4" fontId="3" fillId="9" borderId="1" xfId="0" applyNumberFormat="1" applyFont="1" applyFill="1" applyBorder="1" applyAlignment="1">
      <alignment horizontal="center"/>
    </xf>
    <xf numFmtId="4" fontId="3" fillId="9" borderId="5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23" fillId="0" borderId="1" xfId="0" applyNumberFormat="1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left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167" fontId="26" fillId="0" borderId="5" xfId="0" applyNumberFormat="1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/>
    </xf>
    <xf numFmtId="0" fontId="1" fillId="0" borderId="45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22" fillId="0" borderId="6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" fontId="16" fillId="0" borderId="2" xfId="0" applyNumberFormat="1" applyFont="1" applyBorder="1" applyAlignment="1">
      <alignment horizontal="justify" vertical="center" wrapText="1"/>
    </xf>
    <xf numFmtId="0" fontId="16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0" fillId="0" borderId="0" xfId="0" applyBorder="1"/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8" borderId="1" xfId="0" applyFont="1" applyFill="1" applyBorder="1" applyAlignment="1">
      <alignment vertical="center" textRotation="90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7" xfId="0" applyBorder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0" fillId="0" borderId="42" xfId="0" applyBorder="1"/>
  </cellXfs>
  <cellStyles count="12">
    <cellStyle name="Hiperlink" xfId="2" builtinId="8"/>
    <cellStyle name="Moeda" xfId="1" builtinId="4"/>
    <cellStyle name="Moeda 2" xfId="6" xr:uid="{8F5ABD64-B4CF-4ACA-B64F-22FDC6AFBEE3}"/>
    <cellStyle name="Normal" xfId="0" builtinId="0"/>
    <cellStyle name="Normal 2" xfId="5" xr:uid="{11C7082B-99AB-4C84-B400-63F964E53491}"/>
    <cellStyle name="Normal 4" xfId="7" xr:uid="{8C2F4220-1C52-4ADC-B959-0CB5AF19B739}"/>
    <cellStyle name="Porcentagem" xfId="3" builtinId="5"/>
    <cellStyle name="Porcentagem 2" xfId="9" xr:uid="{65861135-5207-4F06-AA25-44E801AFEE03}"/>
    <cellStyle name="Porcentagem 3" xfId="11" xr:uid="{F1C62ECA-0FA0-414A-95CC-DDBB4A704D8B}"/>
    <cellStyle name="Vírgula" xfId="4" builtinId="3"/>
    <cellStyle name="Vírgula 2" xfId="8" xr:uid="{583C4F21-F8C9-413F-84C5-9BEF66D79718}"/>
    <cellStyle name="Vírgula 3" xfId="10" xr:uid="{54ABE186-5A0A-47D6-A0B3-2339998F4B5D}"/>
  </cellStyles>
  <dxfs count="9"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73139</xdr:colOff>
      <xdr:row>1</xdr:row>
      <xdr:rowOff>229003</xdr:rowOff>
    </xdr:from>
    <xdr:to>
      <xdr:col>0</xdr:col>
      <xdr:colOff>1376495</xdr:colOff>
      <xdr:row>3</xdr:row>
      <xdr:rowOff>318067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139" y="433110"/>
          <a:ext cx="1303356" cy="8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141578</xdr:colOff>
      <xdr:row>1</xdr:row>
      <xdr:rowOff>86591</xdr:rowOff>
    </xdr:from>
    <xdr:to>
      <xdr:col>0</xdr:col>
      <xdr:colOff>1692325</xdr:colOff>
      <xdr:row>4</xdr:row>
      <xdr:rowOff>49790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78" y="294409"/>
          <a:ext cx="1550747" cy="1036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48"/>
  <sheetViews>
    <sheetView view="pageBreakPreview" zoomScale="70" zoomScaleNormal="100" zoomScaleSheetLayoutView="70" workbookViewId="0">
      <selection activeCell="J19" sqref="J19"/>
    </sheetView>
  </sheetViews>
  <sheetFormatPr defaultColWidth="9.140625" defaultRowHeight="15.75" x14ac:dyDescent="0.25"/>
  <cols>
    <col min="1" max="1" width="21.85546875" style="85" customWidth="1"/>
    <col min="2" max="2" width="13.140625" style="51" customWidth="1"/>
    <col min="3" max="3" width="6.7109375" style="51" bestFit="1" customWidth="1"/>
    <col min="4" max="4" width="113.140625" style="51" customWidth="1"/>
    <col min="5" max="5" width="5.5703125" style="51" bestFit="1" customWidth="1"/>
    <col min="6" max="6" width="10" style="51" bestFit="1" customWidth="1"/>
    <col min="7" max="7" width="13.42578125" style="51" bestFit="1" customWidth="1"/>
    <col min="8" max="8" width="16.42578125" style="51" bestFit="1" customWidth="1"/>
    <col min="9" max="9" width="15.28515625" style="51" customWidth="1"/>
    <col min="10" max="10" width="17.7109375" style="51" customWidth="1"/>
    <col min="11" max="16384" width="9.140625" style="51"/>
  </cols>
  <sheetData>
    <row r="1" spans="1:10" x14ac:dyDescent="0.25">
      <c r="A1" s="110"/>
      <c r="B1" s="127" t="s">
        <v>7</v>
      </c>
      <c r="C1" s="127"/>
      <c r="D1" s="127"/>
      <c r="E1" s="127"/>
      <c r="F1" s="127"/>
      <c r="G1" s="128"/>
      <c r="H1" s="115" t="s">
        <v>91</v>
      </c>
      <c r="I1" s="115"/>
      <c r="J1" s="116"/>
    </row>
    <row r="2" spans="1:10" ht="31.5" customHeight="1" x14ac:dyDescent="0.25">
      <c r="A2" s="111"/>
      <c r="B2" s="129"/>
      <c r="C2" s="129"/>
      <c r="D2" s="129"/>
      <c r="E2" s="129"/>
      <c r="F2" s="129"/>
      <c r="G2" s="130"/>
      <c r="H2" s="133" t="s">
        <v>140</v>
      </c>
      <c r="I2" s="134"/>
      <c r="J2" s="135"/>
    </row>
    <row r="3" spans="1:10" ht="27" customHeight="1" x14ac:dyDescent="0.25">
      <c r="A3" s="111"/>
      <c r="B3" s="131" t="s">
        <v>98</v>
      </c>
      <c r="C3" s="131"/>
      <c r="D3" s="132"/>
      <c r="E3" s="140" t="s">
        <v>9</v>
      </c>
      <c r="F3" s="141"/>
      <c r="G3" s="142"/>
      <c r="H3" s="138" t="s">
        <v>19</v>
      </c>
      <c r="I3" s="139"/>
      <c r="J3" s="62">
        <f>BDI!I7</f>
        <v>0.20301131837419373</v>
      </c>
    </row>
    <row r="4" spans="1:10" ht="27" customHeight="1" x14ac:dyDescent="0.25">
      <c r="A4" s="111"/>
      <c r="B4" s="123" t="s">
        <v>92</v>
      </c>
      <c r="C4" s="123"/>
      <c r="D4" s="124"/>
      <c r="E4" s="143"/>
      <c r="F4" s="144"/>
      <c r="G4" s="145"/>
      <c r="H4" s="120" t="s">
        <v>76</v>
      </c>
      <c r="I4" s="121"/>
      <c r="J4" s="122"/>
    </row>
    <row r="5" spans="1:10" ht="28.5" customHeight="1" thickBot="1" x14ac:dyDescent="0.3">
      <c r="A5" s="112"/>
      <c r="B5" s="125" t="s">
        <v>97</v>
      </c>
      <c r="C5" s="125"/>
      <c r="D5" s="126"/>
      <c r="E5" s="146"/>
      <c r="F5" s="147"/>
      <c r="G5" s="148"/>
      <c r="H5" s="149" t="s">
        <v>8</v>
      </c>
      <c r="I5" s="150"/>
      <c r="J5" s="151"/>
    </row>
    <row r="6" spans="1:10" x14ac:dyDescent="0.25">
      <c r="A6" s="117"/>
      <c r="B6" s="113" t="s">
        <v>1</v>
      </c>
      <c r="C6" s="113" t="s">
        <v>2</v>
      </c>
      <c r="D6" s="113" t="s">
        <v>3</v>
      </c>
      <c r="E6" s="113" t="s">
        <v>0</v>
      </c>
      <c r="F6" s="118" t="s">
        <v>4</v>
      </c>
      <c r="G6" s="136" t="s">
        <v>5</v>
      </c>
      <c r="H6" s="137"/>
      <c r="I6" s="136" t="s">
        <v>72</v>
      </c>
      <c r="J6" s="137"/>
    </row>
    <row r="7" spans="1:10" ht="16.5" thickBot="1" x14ac:dyDescent="0.3">
      <c r="A7" s="117"/>
      <c r="B7" s="114"/>
      <c r="C7" s="114"/>
      <c r="D7" s="114"/>
      <c r="E7" s="114"/>
      <c r="F7" s="119"/>
      <c r="G7" s="63" t="s">
        <v>77</v>
      </c>
      <c r="H7" s="64" t="s">
        <v>6</v>
      </c>
      <c r="I7" s="63" t="s">
        <v>77</v>
      </c>
      <c r="J7" s="64" t="s">
        <v>6</v>
      </c>
    </row>
    <row r="8" spans="1:10" s="69" customFormat="1" ht="16.5" thickBot="1" x14ac:dyDescent="0.25">
      <c r="A8" s="65">
        <v>1</v>
      </c>
      <c r="B8" s="107" t="s">
        <v>73</v>
      </c>
      <c r="C8" s="108"/>
      <c r="D8" s="108"/>
      <c r="E8" s="108"/>
      <c r="F8" s="108"/>
      <c r="G8" s="108"/>
      <c r="H8" s="66">
        <f>SUM(H9:H10)</f>
        <v>1571.19</v>
      </c>
      <c r="I8" s="67"/>
      <c r="J8" s="68">
        <f>SUM(J9:J10)</f>
        <v>1890.1593533163493</v>
      </c>
    </row>
    <row r="9" spans="1:10" s="69" customFormat="1" ht="30" x14ac:dyDescent="0.2">
      <c r="A9" s="101" t="s">
        <v>75</v>
      </c>
      <c r="B9" s="89" t="s">
        <v>79</v>
      </c>
      <c r="C9" s="102" t="s">
        <v>18</v>
      </c>
      <c r="D9" s="103" t="s">
        <v>80</v>
      </c>
      <c r="E9" s="89" t="s">
        <v>27</v>
      </c>
      <c r="F9" s="90">
        <v>3</v>
      </c>
      <c r="G9" s="70">
        <v>433.24</v>
      </c>
      <c r="H9" s="71">
        <f t="shared" ref="H9:H10" si="0">F9*G9</f>
        <v>1299.72</v>
      </c>
      <c r="I9" s="72">
        <f>($G9*$J$3+$G9)</f>
        <v>521.19262357243565</v>
      </c>
      <c r="J9" s="73">
        <f>(F9*I9)</f>
        <v>1563.577870717307</v>
      </c>
    </row>
    <row r="10" spans="1:10" s="69" customFormat="1" ht="16.5" thickBot="1" x14ac:dyDescent="0.25">
      <c r="A10" s="56" t="s">
        <v>31</v>
      </c>
      <c r="B10" s="57" t="s">
        <v>31</v>
      </c>
      <c r="C10" s="58" t="s">
        <v>33</v>
      </c>
      <c r="D10" s="104" t="s">
        <v>37</v>
      </c>
      <c r="E10" s="57" t="s">
        <v>32</v>
      </c>
      <c r="F10" s="91">
        <f>'memória de cálculo'!J10</f>
        <v>1</v>
      </c>
      <c r="G10" s="74">
        <v>271.47000000000003</v>
      </c>
      <c r="H10" s="75">
        <f t="shared" si="0"/>
        <v>271.47000000000003</v>
      </c>
      <c r="I10" s="76">
        <f t="shared" ref="I10" si="1">($G10*$J$3+$G10)</f>
        <v>326.58148259904237</v>
      </c>
      <c r="J10" s="77">
        <f t="shared" ref="J10" si="2">(F10*I10)</f>
        <v>326.58148259904237</v>
      </c>
    </row>
    <row r="11" spans="1:10" s="69" customFormat="1" ht="16.5" thickBot="1" x14ac:dyDescent="0.25">
      <c r="A11" s="65">
        <v>2</v>
      </c>
      <c r="B11" s="107" t="s">
        <v>99</v>
      </c>
      <c r="C11" s="108"/>
      <c r="D11" s="108"/>
      <c r="E11" s="108"/>
      <c r="F11" s="108"/>
      <c r="G11" s="108"/>
      <c r="H11" s="66">
        <f>SUM(H12:H18)</f>
        <v>22339.178820000001</v>
      </c>
      <c r="I11" s="67"/>
      <c r="J11" s="66">
        <f>SUM(J12:J18)</f>
        <v>26874.284963645063</v>
      </c>
    </row>
    <row r="12" spans="1:10" s="69" customFormat="1" ht="45" x14ac:dyDescent="0.2">
      <c r="A12" s="52" t="s">
        <v>189</v>
      </c>
      <c r="B12" s="53" t="s">
        <v>191</v>
      </c>
      <c r="C12" s="54" t="s">
        <v>81</v>
      </c>
      <c r="D12" s="92" t="s">
        <v>112</v>
      </c>
      <c r="E12" s="53" t="s">
        <v>100</v>
      </c>
      <c r="F12" s="91">
        <f>'memória de cálculo'!J12</f>
        <v>5</v>
      </c>
      <c r="G12" s="80">
        <f>((230+320)+410)/2</f>
        <v>480</v>
      </c>
      <c r="H12" s="80">
        <f t="shared" ref="H12:H15" si="3">F12*G12</f>
        <v>2400</v>
      </c>
      <c r="I12" s="80">
        <f t="shared" ref="I12:I15" si="4">($G12*$J$3+$G12)</f>
        <v>577.44543281961296</v>
      </c>
      <c r="J12" s="81">
        <f t="shared" ref="J12:J15" si="5">F12*I12</f>
        <v>2887.2271640980648</v>
      </c>
    </row>
    <row r="13" spans="1:10" s="69" customFormat="1" ht="45" x14ac:dyDescent="0.2">
      <c r="A13" s="52" t="s">
        <v>189</v>
      </c>
      <c r="B13" s="53" t="s">
        <v>191</v>
      </c>
      <c r="C13" s="54" t="s">
        <v>83</v>
      </c>
      <c r="D13" s="92" t="s">
        <v>113</v>
      </c>
      <c r="E13" s="53" t="s">
        <v>100</v>
      </c>
      <c r="F13" s="91">
        <f>'memória de cálculo'!J13</f>
        <v>10</v>
      </c>
      <c r="G13" s="80">
        <f>((120+180)+220)/2</f>
        <v>260</v>
      </c>
      <c r="H13" s="80">
        <f t="shared" si="3"/>
        <v>2600</v>
      </c>
      <c r="I13" s="80">
        <f t="shared" si="4"/>
        <v>312.78294277729037</v>
      </c>
      <c r="J13" s="81">
        <f t="shared" si="5"/>
        <v>3127.8294277729037</v>
      </c>
    </row>
    <row r="14" spans="1:10" s="69" customFormat="1" ht="60" x14ac:dyDescent="0.2">
      <c r="A14" s="52" t="s">
        <v>189</v>
      </c>
      <c r="B14" s="53" t="s">
        <v>193</v>
      </c>
      <c r="C14" s="54" t="s">
        <v>122</v>
      </c>
      <c r="D14" s="92" t="s">
        <v>164</v>
      </c>
      <c r="E14" s="53" t="s">
        <v>100</v>
      </c>
      <c r="F14" s="91">
        <f>'memória de cálculo'!J14</f>
        <v>1</v>
      </c>
      <c r="G14" s="80">
        <v>4810</v>
      </c>
      <c r="H14" s="80">
        <f t="shared" ref="H14" si="6">F14*G14</f>
        <v>4810</v>
      </c>
      <c r="I14" s="80">
        <f t="shared" si="4"/>
        <v>5786.4844413798719</v>
      </c>
      <c r="J14" s="81">
        <f t="shared" ref="J14" si="7">F14*I14</f>
        <v>5786.4844413798719</v>
      </c>
    </row>
    <row r="15" spans="1:10" s="69" customFormat="1" ht="30" x14ac:dyDescent="0.2">
      <c r="A15" s="52" t="s">
        <v>86</v>
      </c>
      <c r="B15" s="53">
        <v>97649</v>
      </c>
      <c r="C15" s="54" t="s">
        <v>87</v>
      </c>
      <c r="D15" s="92" t="s">
        <v>114</v>
      </c>
      <c r="E15" s="53" t="s">
        <v>27</v>
      </c>
      <c r="F15" s="91">
        <f>'memória de cálculo'!J15</f>
        <v>589.85849999999994</v>
      </c>
      <c r="G15" s="80">
        <v>4.45</v>
      </c>
      <c r="H15" s="80">
        <f t="shared" si="3"/>
        <v>2624.8703249999999</v>
      </c>
      <c r="I15" s="80">
        <f t="shared" si="4"/>
        <v>5.353400366765162</v>
      </c>
      <c r="J15" s="81">
        <f t="shared" si="5"/>
        <v>3157.748710239548</v>
      </c>
    </row>
    <row r="16" spans="1:10" s="69" customFormat="1" x14ac:dyDescent="0.2">
      <c r="A16" s="52" t="s">
        <v>86</v>
      </c>
      <c r="B16" s="53">
        <v>104803</v>
      </c>
      <c r="C16" s="54" t="s">
        <v>89</v>
      </c>
      <c r="D16" s="92" t="s">
        <v>142</v>
      </c>
      <c r="E16" s="53" t="s">
        <v>26</v>
      </c>
      <c r="F16" s="91">
        <f>'memória de cálculo'!J16</f>
        <v>78.61</v>
      </c>
      <c r="G16" s="80">
        <v>4.5599999999999996</v>
      </c>
      <c r="H16" s="80">
        <f t="shared" ref="H16:H17" si="8">F16*G16</f>
        <v>358.46159999999998</v>
      </c>
      <c r="I16" s="80">
        <f t="shared" ref="I16:I18" si="9">($G16*$J$3+$G16)</f>
        <v>5.4857316117863233</v>
      </c>
      <c r="J16" s="81">
        <f t="shared" ref="J16:J17" si="10">F16*I16</f>
        <v>431.23336200252288</v>
      </c>
    </row>
    <row r="17" spans="1:10" s="69" customFormat="1" x14ac:dyDescent="0.2">
      <c r="A17" s="52" t="s">
        <v>86</v>
      </c>
      <c r="B17" s="53">
        <v>104803</v>
      </c>
      <c r="C17" s="54" t="s">
        <v>123</v>
      </c>
      <c r="D17" s="92" t="s">
        <v>141</v>
      </c>
      <c r="E17" s="53" t="s">
        <v>26</v>
      </c>
      <c r="F17" s="91">
        <f>'memória de cálculo'!J17</f>
        <v>118.92</v>
      </c>
      <c r="G17" s="80">
        <v>4.53</v>
      </c>
      <c r="H17" s="80">
        <f t="shared" si="8"/>
        <v>538.70760000000007</v>
      </c>
      <c r="I17" s="80">
        <f t="shared" si="9"/>
        <v>5.4496412722350982</v>
      </c>
      <c r="J17" s="81">
        <f t="shared" si="10"/>
        <v>648.07134009419792</v>
      </c>
    </row>
    <row r="18" spans="1:10" s="69" customFormat="1" ht="45.75" thickBot="1" x14ac:dyDescent="0.25">
      <c r="A18" s="52" t="s">
        <v>143</v>
      </c>
      <c r="B18" s="53" t="s">
        <v>157</v>
      </c>
      <c r="C18" s="54" t="s">
        <v>165</v>
      </c>
      <c r="D18" s="92" t="s">
        <v>167</v>
      </c>
      <c r="E18" s="53" t="s">
        <v>27</v>
      </c>
      <c r="F18" s="91">
        <f>'memória de cálculo'!J18</f>
        <v>589.85849999999994</v>
      </c>
      <c r="G18" s="80">
        <v>15.27</v>
      </c>
      <c r="H18" s="80">
        <f t="shared" ref="H18" si="11">F18*G18</f>
        <v>9007.139294999999</v>
      </c>
      <c r="I18" s="80">
        <f t="shared" si="9"/>
        <v>18.369982831573939</v>
      </c>
      <c r="J18" s="81">
        <f t="shared" ref="J18" si="12">F18*I18</f>
        <v>10835.690518057954</v>
      </c>
    </row>
    <row r="19" spans="1:10" s="69" customFormat="1" ht="16.5" thickBot="1" x14ac:dyDescent="0.25">
      <c r="A19" s="65">
        <v>3</v>
      </c>
      <c r="B19" s="107" t="s">
        <v>103</v>
      </c>
      <c r="C19" s="108"/>
      <c r="D19" s="108"/>
      <c r="E19" s="108"/>
      <c r="F19" s="108"/>
      <c r="G19" s="108"/>
      <c r="H19" s="66">
        <f>SUM(H20:H31)</f>
        <v>139198.05517919996</v>
      </c>
      <c r="I19" s="67"/>
      <c r="J19" s="66">
        <f>SUM(J20:J31)</f>
        <v>167456.83587625317</v>
      </c>
    </row>
    <row r="20" spans="1:10" s="69" customFormat="1" ht="45" x14ac:dyDescent="0.2">
      <c r="A20" s="52" t="s">
        <v>143</v>
      </c>
      <c r="B20" s="57" t="s">
        <v>196</v>
      </c>
      <c r="C20" s="54" t="s">
        <v>128</v>
      </c>
      <c r="D20" s="92" t="s">
        <v>197</v>
      </c>
      <c r="E20" s="57" t="s">
        <v>26</v>
      </c>
      <c r="F20" s="91">
        <f>'memória de cálculo'!J20</f>
        <v>78.61</v>
      </c>
      <c r="G20" s="76">
        <v>160.91999999999999</v>
      </c>
      <c r="H20" s="76">
        <f t="shared" ref="H20" si="13">F20*G20</f>
        <v>12649.921199999999</v>
      </c>
      <c r="I20" s="76">
        <f t="shared" ref="I20:I25" si="14">($G20*$J$3+$G20)</f>
        <v>193.58858135277524</v>
      </c>
      <c r="J20" s="77">
        <f t="shared" ref="J20" si="15">F20*I20</f>
        <v>15217.998380141662</v>
      </c>
    </row>
    <row r="21" spans="1:10" s="69" customFormat="1" x14ac:dyDescent="0.2">
      <c r="A21" s="52" t="s">
        <v>178</v>
      </c>
      <c r="B21" s="57">
        <v>12869</v>
      </c>
      <c r="C21" s="54" t="s">
        <v>82</v>
      </c>
      <c r="D21" s="92" t="s">
        <v>190</v>
      </c>
      <c r="E21" s="57" t="s">
        <v>179</v>
      </c>
      <c r="F21" s="91">
        <f>'memória de cálculo'!J21</f>
        <v>42.346800000000002</v>
      </c>
      <c r="G21" s="76">
        <v>21.34</v>
      </c>
      <c r="H21" s="76">
        <f t="shared" ref="H21" si="16">F21*G21</f>
        <v>903.68071200000009</v>
      </c>
      <c r="I21" s="76">
        <f t="shared" si="14"/>
        <v>25.672261534105296</v>
      </c>
      <c r="J21" s="77">
        <f t="shared" ref="J21" si="17">F21*I21</f>
        <v>1087.1381247324503</v>
      </c>
    </row>
    <row r="22" spans="1:10" s="69" customFormat="1" ht="75" x14ac:dyDescent="0.2">
      <c r="A22" s="52" t="s">
        <v>86</v>
      </c>
      <c r="B22" s="57">
        <v>100764</v>
      </c>
      <c r="C22" s="54" t="s">
        <v>90</v>
      </c>
      <c r="D22" s="92" t="s">
        <v>194</v>
      </c>
      <c r="E22" s="57" t="s">
        <v>110</v>
      </c>
      <c r="F22" s="91">
        <f>'memória de cálculo'!J22</f>
        <v>1044.8</v>
      </c>
      <c r="G22" s="76">
        <v>14.75</v>
      </c>
      <c r="H22" s="76">
        <f t="shared" ref="H22:H23" si="18">F22*G22</f>
        <v>15410.8</v>
      </c>
      <c r="I22" s="76">
        <f t="shared" si="14"/>
        <v>17.744416946019356</v>
      </c>
      <c r="J22" s="77">
        <f t="shared" ref="J22:J23" si="19">F22*I22</f>
        <v>18539.366825201021</v>
      </c>
    </row>
    <row r="23" spans="1:10" s="69" customFormat="1" ht="45" x14ac:dyDescent="0.2">
      <c r="A23" s="52" t="s">
        <v>86</v>
      </c>
      <c r="B23" s="57">
        <v>100768</v>
      </c>
      <c r="C23" s="54" t="s">
        <v>84</v>
      </c>
      <c r="D23" s="92" t="s">
        <v>111</v>
      </c>
      <c r="E23" s="57" t="s">
        <v>110</v>
      </c>
      <c r="F23" s="91">
        <f>'memória de cálculo'!J23</f>
        <v>364.32</v>
      </c>
      <c r="G23" s="76">
        <v>15</v>
      </c>
      <c r="H23" s="76">
        <f t="shared" si="18"/>
        <v>5464.8</v>
      </c>
      <c r="I23" s="76">
        <f t="shared" si="14"/>
        <v>18.045169775612905</v>
      </c>
      <c r="J23" s="77">
        <f t="shared" si="19"/>
        <v>6574.2162526512939</v>
      </c>
    </row>
    <row r="24" spans="1:10" s="69" customFormat="1" x14ac:dyDescent="0.2">
      <c r="A24" s="52" t="s">
        <v>86</v>
      </c>
      <c r="B24" s="57">
        <v>94216</v>
      </c>
      <c r="C24" s="54" t="s">
        <v>85</v>
      </c>
      <c r="D24" s="92" t="s">
        <v>104</v>
      </c>
      <c r="E24" s="57" t="s">
        <v>27</v>
      </c>
      <c r="F24" s="91">
        <f>'memória de cálculo'!J24</f>
        <v>589.85849999999994</v>
      </c>
      <c r="G24" s="76">
        <v>156.21</v>
      </c>
      <c r="H24" s="76">
        <f t="shared" ref="H24:H25" si="20">F24*G24</f>
        <v>92141.796284999989</v>
      </c>
      <c r="I24" s="76">
        <f t="shared" si="14"/>
        <v>187.92239804323282</v>
      </c>
      <c r="J24" s="77">
        <f t="shared" ref="J24:J25" si="21">F24*I24</f>
        <v>110847.62382618424</v>
      </c>
    </row>
    <row r="25" spans="1:10" s="69" customFormat="1" ht="30" x14ac:dyDescent="0.2">
      <c r="A25" s="52" t="s">
        <v>86</v>
      </c>
      <c r="B25" s="57">
        <v>94231</v>
      </c>
      <c r="C25" s="54" t="s">
        <v>129</v>
      </c>
      <c r="D25" s="92" t="s">
        <v>124</v>
      </c>
      <c r="E25" s="57" t="s">
        <v>26</v>
      </c>
      <c r="F25" s="91">
        <f>'memória de cálculo'!J25</f>
        <v>118.92</v>
      </c>
      <c r="G25" s="76">
        <v>55.81</v>
      </c>
      <c r="H25" s="76">
        <f t="shared" si="20"/>
        <v>6636.9252000000006</v>
      </c>
      <c r="I25" s="76">
        <f t="shared" si="14"/>
        <v>67.140061678463752</v>
      </c>
      <c r="J25" s="77">
        <f t="shared" si="21"/>
        <v>7984.2961348029094</v>
      </c>
    </row>
    <row r="26" spans="1:10" s="69" customFormat="1" x14ac:dyDescent="0.2">
      <c r="A26" s="52" t="s">
        <v>143</v>
      </c>
      <c r="B26" s="53" t="s">
        <v>144</v>
      </c>
      <c r="C26" s="54" t="s">
        <v>130</v>
      </c>
      <c r="D26" s="92" t="s">
        <v>145</v>
      </c>
      <c r="E26" s="53" t="s">
        <v>27</v>
      </c>
      <c r="F26" s="91">
        <f>'memória de cálculo'!J26</f>
        <v>251.19123999999996</v>
      </c>
      <c r="G26" s="80">
        <v>20.53</v>
      </c>
      <c r="H26" s="76">
        <f t="shared" ref="H26:H27" si="22">F26*G26</f>
        <v>5156.9561571999993</v>
      </c>
      <c r="I26" s="76">
        <f t="shared" ref="I26:I27" si="23">($G26*$J$3+$G26)</f>
        <v>24.697822366222198</v>
      </c>
      <c r="J26" s="77">
        <f t="shared" ref="J26:J27" si="24">F26*I26</f>
        <v>6203.8766254710872</v>
      </c>
    </row>
    <row r="27" spans="1:10" s="69" customFormat="1" x14ac:dyDescent="0.2">
      <c r="A27" s="52" t="s">
        <v>146</v>
      </c>
      <c r="B27" s="53">
        <v>38123</v>
      </c>
      <c r="C27" s="54" t="s">
        <v>168</v>
      </c>
      <c r="D27" s="92" t="s">
        <v>147</v>
      </c>
      <c r="E27" s="53" t="s">
        <v>148</v>
      </c>
      <c r="F27" s="91">
        <f>'memória de cálculo'!J27</f>
        <v>4</v>
      </c>
      <c r="G27" s="80">
        <v>73.650000000000006</v>
      </c>
      <c r="H27" s="76">
        <f t="shared" si="22"/>
        <v>294.60000000000002</v>
      </c>
      <c r="I27" s="76">
        <f t="shared" si="23"/>
        <v>88.601783598259374</v>
      </c>
      <c r="J27" s="77">
        <f t="shared" si="24"/>
        <v>354.4071343930375</v>
      </c>
    </row>
    <row r="28" spans="1:10" s="69" customFormat="1" x14ac:dyDescent="0.2">
      <c r="A28" s="52" t="s">
        <v>146</v>
      </c>
      <c r="B28" s="57">
        <v>9836</v>
      </c>
      <c r="C28" s="54" t="s">
        <v>169</v>
      </c>
      <c r="D28" s="92" t="s">
        <v>149</v>
      </c>
      <c r="E28" s="57" t="s">
        <v>26</v>
      </c>
      <c r="F28" s="91">
        <f>'memória de cálculo'!J28</f>
        <v>29.25</v>
      </c>
      <c r="G28" s="76">
        <v>14.91</v>
      </c>
      <c r="H28" s="76">
        <f t="shared" ref="H28:H31" si="25">F28*G28</f>
        <v>436.11750000000001</v>
      </c>
      <c r="I28" s="76">
        <f t="shared" ref="I28:I31" si="26">($G28*$J$3+$G28)</f>
        <v>17.936898756959231</v>
      </c>
      <c r="J28" s="77">
        <f t="shared" ref="J28:J31" si="27">F28*I28</f>
        <v>524.65428864105752</v>
      </c>
    </row>
    <row r="29" spans="1:10" s="69" customFormat="1" x14ac:dyDescent="0.2">
      <c r="A29" s="52" t="s">
        <v>146</v>
      </c>
      <c r="B29" s="57">
        <v>3520</v>
      </c>
      <c r="C29" s="54" t="s">
        <v>170</v>
      </c>
      <c r="D29" s="92" t="s">
        <v>150</v>
      </c>
      <c r="E29" s="57" t="s">
        <v>100</v>
      </c>
      <c r="F29" s="91">
        <f>'memória de cálculo'!J29</f>
        <v>6</v>
      </c>
      <c r="G29" s="76">
        <v>8.31</v>
      </c>
      <c r="H29" s="76">
        <f t="shared" si="25"/>
        <v>49.86</v>
      </c>
      <c r="I29" s="76">
        <f t="shared" si="26"/>
        <v>9.9970240556895504</v>
      </c>
      <c r="J29" s="77">
        <f t="shared" si="27"/>
        <v>59.982144334137303</v>
      </c>
    </row>
    <row r="30" spans="1:10" s="69" customFormat="1" ht="45" x14ac:dyDescent="0.2">
      <c r="A30" s="52" t="s">
        <v>143</v>
      </c>
      <c r="B30" s="57" t="s">
        <v>151</v>
      </c>
      <c r="C30" s="54" t="s">
        <v>171</v>
      </c>
      <c r="D30" s="92" t="s">
        <v>163</v>
      </c>
      <c r="E30" s="57" t="s">
        <v>152</v>
      </c>
      <c r="F30" s="91">
        <f>'memória de cálculo'!J30</f>
        <v>1.125E-2</v>
      </c>
      <c r="G30" s="76">
        <v>106.5</v>
      </c>
      <c r="H30" s="76">
        <f t="shared" si="25"/>
        <v>1.1981249999999999</v>
      </c>
      <c r="I30" s="76">
        <f t="shared" si="26"/>
        <v>128.12070540685164</v>
      </c>
      <c r="J30" s="77">
        <f t="shared" si="27"/>
        <v>1.4413579358270809</v>
      </c>
    </row>
    <row r="31" spans="1:10" s="69" customFormat="1" ht="16.5" thickBot="1" x14ac:dyDescent="0.25">
      <c r="A31" s="52" t="s">
        <v>146</v>
      </c>
      <c r="B31" s="57">
        <v>39145</v>
      </c>
      <c r="C31" s="54" t="s">
        <v>183</v>
      </c>
      <c r="D31" s="92" t="s">
        <v>153</v>
      </c>
      <c r="E31" s="57" t="s">
        <v>100</v>
      </c>
      <c r="F31" s="91">
        <f>'memória de cálculo'!J31</f>
        <v>10</v>
      </c>
      <c r="G31" s="76">
        <v>5.14</v>
      </c>
      <c r="H31" s="76">
        <f t="shared" si="25"/>
        <v>51.4</v>
      </c>
      <c r="I31" s="76">
        <f t="shared" si="26"/>
        <v>6.1834781764433551</v>
      </c>
      <c r="J31" s="77">
        <f t="shared" si="27"/>
        <v>61.834781764433551</v>
      </c>
    </row>
    <row r="32" spans="1:10" s="69" customFormat="1" ht="16.149999999999999" customHeight="1" thickBot="1" x14ac:dyDescent="0.25">
      <c r="A32" s="65">
        <v>4</v>
      </c>
      <c r="B32" s="107" t="s">
        <v>105</v>
      </c>
      <c r="C32" s="108"/>
      <c r="D32" s="108"/>
      <c r="E32" s="108"/>
      <c r="F32" s="108"/>
      <c r="G32" s="109"/>
      <c r="H32" s="66">
        <f>SUM(H33:H39)</f>
        <v>11754.76</v>
      </c>
      <c r="I32" s="67"/>
      <c r="J32" s="66">
        <f>SUM(J33:J39)</f>
        <v>14141.109324772237</v>
      </c>
    </row>
    <row r="33" spans="1:10" ht="33.6" customHeight="1" x14ac:dyDescent="0.25">
      <c r="A33" s="52" t="s">
        <v>75</v>
      </c>
      <c r="B33" s="57" t="s">
        <v>125</v>
      </c>
      <c r="C33" s="54" t="s">
        <v>88</v>
      </c>
      <c r="D33" s="92" t="s">
        <v>201</v>
      </c>
      <c r="E33" s="57" t="s">
        <v>27</v>
      </c>
      <c r="F33" s="91">
        <f>'memória de cálculo'!J33</f>
        <v>225</v>
      </c>
      <c r="G33" s="76">
        <v>7.99</v>
      </c>
      <c r="H33" s="76">
        <f t="shared" ref="H33" si="28">F33*G33</f>
        <v>1797.75</v>
      </c>
      <c r="I33" s="76">
        <f>($G33*$J$3+$G33)</f>
        <v>9.612060433809809</v>
      </c>
      <c r="J33" s="77">
        <f t="shared" ref="J33" si="29">F33*I33</f>
        <v>2162.7135976072072</v>
      </c>
    </row>
    <row r="34" spans="1:10" ht="34.15" customHeight="1" x14ac:dyDescent="0.25">
      <c r="A34" s="52" t="s">
        <v>75</v>
      </c>
      <c r="B34" s="57" t="s">
        <v>126</v>
      </c>
      <c r="C34" s="54" t="s">
        <v>131</v>
      </c>
      <c r="D34" s="92" t="s">
        <v>198</v>
      </c>
      <c r="E34" s="57" t="s">
        <v>26</v>
      </c>
      <c r="F34" s="91">
        <f>'memória de cálculo'!J34</f>
        <v>225</v>
      </c>
      <c r="G34" s="76">
        <v>12.95</v>
      </c>
      <c r="H34" s="76">
        <f t="shared" ref="H34" si="30">F34*G34</f>
        <v>2913.75</v>
      </c>
      <c r="I34" s="76">
        <f>($G34*$J$3+$G34)</f>
        <v>15.578996572945808</v>
      </c>
      <c r="J34" s="77">
        <f t="shared" ref="J34" si="31">F34*I34</f>
        <v>3505.2742289128068</v>
      </c>
    </row>
    <row r="35" spans="1:10" ht="30" x14ac:dyDescent="0.25">
      <c r="A35" s="52" t="s">
        <v>75</v>
      </c>
      <c r="B35" s="57" t="s">
        <v>127</v>
      </c>
      <c r="C35" s="54" t="s">
        <v>132</v>
      </c>
      <c r="D35" s="92" t="s">
        <v>199</v>
      </c>
      <c r="E35" s="57" t="s">
        <v>26</v>
      </c>
      <c r="F35" s="91">
        <f>'memória de cálculo'!J35</f>
        <v>225</v>
      </c>
      <c r="G35" s="76">
        <v>12.95</v>
      </c>
      <c r="H35" s="76">
        <f t="shared" ref="H35:H39" si="32">F35*G35</f>
        <v>2913.75</v>
      </c>
      <c r="I35" s="76">
        <f t="shared" ref="I35:I39" si="33">($G35*$J$3+$G35)</f>
        <v>15.578996572945808</v>
      </c>
      <c r="J35" s="77">
        <f t="shared" ref="J35:J39" si="34">F35*I35</f>
        <v>3505.2742289128068</v>
      </c>
    </row>
    <row r="36" spans="1:10" x14ac:dyDescent="0.25">
      <c r="A36" s="52" t="s">
        <v>86</v>
      </c>
      <c r="B36" s="57">
        <v>99804</v>
      </c>
      <c r="C36" s="54" t="s">
        <v>133</v>
      </c>
      <c r="D36" s="92" t="s">
        <v>106</v>
      </c>
      <c r="E36" s="57" t="s">
        <v>27</v>
      </c>
      <c r="F36" s="91">
        <f>'memória de cálculo'!J36</f>
        <v>47.74</v>
      </c>
      <c r="G36" s="76">
        <v>2.89</v>
      </c>
      <c r="H36" s="76">
        <f t="shared" si="32"/>
        <v>137.96860000000001</v>
      </c>
      <c r="I36" s="76">
        <f t="shared" si="33"/>
        <v>3.4767027101014198</v>
      </c>
      <c r="J36" s="77">
        <f t="shared" si="34"/>
        <v>165.97778738024178</v>
      </c>
    </row>
    <row r="37" spans="1:10" x14ac:dyDescent="0.25">
      <c r="A37" s="52" t="s">
        <v>86</v>
      </c>
      <c r="B37" s="57">
        <v>96113</v>
      </c>
      <c r="C37" s="54" t="s">
        <v>134</v>
      </c>
      <c r="D37" s="92" t="s">
        <v>107</v>
      </c>
      <c r="E37" s="57" t="s">
        <v>27</v>
      </c>
      <c r="F37" s="91">
        <f>'memória de cálculo'!J37</f>
        <v>47.74</v>
      </c>
      <c r="G37" s="76">
        <v>47.03</v>
      </c>
      <c r="H37" s="76">
        <f t="shared" si="32"/>
        <v>2245.2121999999999</v>
      </c>
      <c r="I37" s="76">
        <f t="shared" si="33"/>
        <v>56.577622303138334</v>
      </c>
      <c r="J37" s="77">
        <f t="shared" si="34"/>
        <v>2701.0156887518242</v>
      </c>
    </row>
    <row r="38" spans="1:10" x14ac:dyDescent="0.25">
      <c r="A38" s="52" t="s">
        <v>86</v>
      </c>
      <c r="B38" s="57">
        <v>88494</v>
      </c>
      <c r="C38" s="54" t="s">
        <v>135</v>
      </c>
      <c r="D38" s="92" t="s">
        <v>108</v>
      </c>
      <c r="E38" s="57" t="s">
        <v>27</v>
      </c>
      <c r="F38" s="91">
        <f>'memória de cálculo'!J38</f>
        <v>47.74</v>
      </c>
      <c r="G38" s="76">
        <v>21.14</v>
      </c>
      <c r="H38" s="76">
        <f t="shared" si="32"/>
        <v>1009.2236</v>
      </c>
      <c r="I38" s="76">
        <f t="shared" si="33"/>
        <v>25.431659270430458</v>
      </c>
      <c r="J38" s="77">
        <f t="shared" si="34"/>
        <v>1214.1074135703502</v>
      </c>
    </row>
    <row r="39" spans="1:10" ht="16.5" thickBot="1" x14ac:dyDescent="0.3">
      <c r="A39" s="52" t="s">
        <v>86</v>
      </c>
      <c r="B39" s="105">
        <v>88488</v>
      </c>
      <c r="C39" s="100" t="s">
        <v>136</v>
      </c>
      <c r="D39" s="98" t="s">
        <v>109</v>
      </c>
      <c r="E39" s="95" t="s">
        <v>27</v>
      </c>
      <c r="F39" s="91">
        <f>'memória de cálculo'!J39</f>
        <v>47.74</v>
      </c>
      <c r="G39" s="99">
        <v>15.44</v>
      </c>
      <c r="H39" s="76">
        <f t="shared" si="32"/>
        <v>737.10559999999998</v>
      </c>
      <c r="I39" s="76">
        <f t="shared" si="33"/>
        <v>18.57449475569755</v>
      </c>
      <c r="J39" s="77">
        <f t="shared" si="34"/>
        <v>886.74637963700104</v>
      </c>
    </row>
    <row r="40" spans="1:10" s="69" customFormat="1" ht="16.5" thickBot="1" x14ac:dyDescent="0.25">
      <c r="A40" s="78">
        <v>4</v>
      </c>
      <c r="B40" s="107" t="s">
        <v>21</v>
      </c>
      <c r="C40" s="108"/>
      <c r="D40" s="108"/>
      <c r="E40" s="108"/>
      <c r="F40" s="108"/>
      <c r="G40" s="109"/>
      <c r="H40" s="66">
        <f>SUM(H41)</f>
        <v>3263.3108000000007</v>
      </c>
      <c r="I40" s="66"/>
      <c r="J40" s="79">
        <f>SUM(J41)</f>
        <v>3925.7998277727456</v>
      </c>
    </row>
    <row r="41" spans="1:10" ht="16.5" thickBot="1" x14ac:dyDescent="0.3">
      <c r="A41" s="52" t="s">
        <v>86</v>
      </c>
      <c r="B41" s="106">
        <v>99804</v>
      </c>
      <c r="C41" s="93" t="s">
        <v>88</v>
      </c>
      <c r="D41" s="94" t="s">
        <v>21</v>
      </c>
      <c r="E41" s="95" t="s">
        <v>27</v>
      </c>
      <c r="F41" s="91">
        <f>'memória de cálculo'!J41</f>
        <v>623.96</v>
      </c>
      <c r="G41" s="96">
        <v>5.23</v>
      </c>
      <c r="H41" s="82">
        <f t="shared" ref="H41" si="35">F41*G41</f>
        <v>3263.3108000000007</v>
      </c>
      <c r="I41" s="82">
        <f>($G41*$J$3+$G41)</f>
        <v>6.2917491950970339</v>
      </c>
      <c r="J41" s="83">
        <f t="shared" ref="J41" si="36">F41*I41</f>
        <v>3925.7998277727456</v>
      </c>
    </row>
    <row r="42" spans="1:10" ht="16.5" thickBot="1" x14ac:dyDescent="0.3">
      <c r="A42" s="161" t="s">
        <v>74</v>
      </c>
      <c r="B42" s="162"/>
      <c r="C42" s="162"/>
      <c r="D42" s="162"/>
      <c r="E42" s="162"/>
      <c r="F42" s="162"/>
      <c r="G42" s="163"/>
      <c r="H42" s="84">
        <f>H8+H11+H19+H32+H40</f>
        <v>178126.49479919998</v>
      </c>
      <c r="I42" s="84"/>
      <c r="J42" s="84">
        <f>J8+J11+J19+J32+J40</f>
        <v>214288.18934575957</v>
      </c>
    </row>
    <row r="43" spans="1:10" ht="48" customHeight="1" x14ac:dyDescent="0.25">
      <c r="A43" s="164" t="s">
        <v>78</v>
      </c>
      <c r="B43" s="165"/>
      <c r="C43" s="165"/>
      <c r="D43" s="166"/>
      <c r="E43" s="152" t="s">
        <v>71</v>
      </c>
      <c r="F43" s="153"/>
      <c r="G43" s="153"/>
      <c r="H43" s="153"/>
      <c r="I43" s="153"/>
      <c r="J43" s="154"/>
    </row>
    <row r="44" spans="1:10" x14ac:dyDescent="0.25">
      <c r="A44" s="167"/>
      <c r="B44" s="168"/>
      <c r="C44" s="168"/>
      <c r="D44" s="169"/>
      <c r="E44" s="155"/>
      <c r="F44" s="156"/>
      <c r="G44" s="156"/>
      <c r="H44" s="156"/>
      <c r="I44" s="156"/>
      <c r="J44" s="157"/>
    </row>
    <row r="45" spans="1:10" x14ac:dyDescent="0.25">
      <c r="A45" s="167"/>
      <c r="B45" s="168"/>
      <c r="C45" s="168"/>
      <c r="D45" s="169"/>
      <c r="E45" s="155"/>
      <c r="F45" s="156"/>
      <c r="G45" s="156"/>
      <c r="H45" s="156"/>
      <c r="I45" s="156"/>
      <c r="J45" s="157"/>
    </row>
    <row r="46" spans="1:10" ht="16.5" customHeight="1" thickBot="1" x14ac:dyDescent="0.3">
      <c r="A46" s="170"/>
      <c r="B46" s="171"/>
      <c r="C46" s="171"/>
      <c r="D46" s="172"/>
      <c r="E46" s="158"/>
      <c r="F46" s="159"/>
      <c r="G46" s="159"/>
      <c r="H46" s="159"/>
      <c r="I46" s="159"/>
      <c r="J46" s="160"/>
    </row>
    <row r="48" spans="1:10" x14ac:dyDescent="0.25">
      <c r="D48" s="86"/>
    </row>
  </sheetData>
  <mergeCells count="27">
    <mergeCell ref="B40:G40"/>
    <mergeCell ref="E43:J46"/>
    <mergeCell ref="A42:G42"/>
    <mergeCell ref="A43:D46"/>
    <mergeCell ref="B3:D3"/>
    <mergeCell ref="H2:J2"/>
    <mergeCell ref="G6:H6"/>
    <mergeCell ref="I6:J6"/>
    <mergeCell ref="H3:I3"/>
    <mergeCell ref="E3:G5"/>
    <mergeCell ref="H5:J5"/>
    <mergeCell ref="B32:G32"/>
    <mergeCell ref="B19:G19"/>
    <mergeCell ref="A1:A5"/>
    <mergeCell ref="D6:D7"/>
    <mergeCell ref="H1:J1"/>
    <mergeCell ref="B11:G11"/>
    <mergeCell ref="A6:A7"/>
    <mergeCell ref="F6:F7"/>
    <mergeCell ref="C6:C7"/>
    <mergeCell ref="B8:G8"/>
    <mergeCell ref="H4:J4"/>
    <mergeCell ref="B4:D4"/>
    <mergeCell ref="B5:D5"/>
    <mergeCell ref="B1:G2"/>
    <mergeCell ref="B6:B7"/>
    <mergeCell ref="E6:E7"/>
  </mergeCells>
  <phoneticPr fontId="12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fitToHeight="0" orientation="landscape" r:id="rId1"/>
  <headerFooter>
    <oddHeader>&amp;L&amp;G</oddHeader>
    <oddFooter>&amp;C&amp;"Times New Roman,Normal"&amp;12RJ Morais Engenharia e Arquitetura Ltda / CNPJ: 42.441.571/0001-01
www.rjmorais.com.br / rjmorais@rjmorais.com.br / Fone: (37) 99182-8911
Rua Jarbas Ferreira Pires, 440, sala 102, Centro, Arcos/MG, cep 35.588-000</oddFooter>
  </headerFooter>
  <rowBreaks count="1" manualBreakCount="1">
    <brk id="25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45"/>
  <sheetViews>
    <sheetView showGridLines="0" view="pageBreakPreview" topLeftCell="A37" zoomScale="85" zoomScaleNormal="100" zoomScaleSheetLayoutView="85" workbookViewId="0">
      <selection activeCell="C39" sqref="A1:J45"/>
    </sheetView>
  </sheetViews>
  <sheetFormatPr defaultColWidth="9.140625" defaultRowHeight="40.5" customHeight="1" x14ac:dyDescent="0.25"/>
  <cols>
    <col min="1" max="1" width="27.5703125" style="87" customWidth="1"/>
    <col min="2" max="2" width="15.5703125" style="60" customWidth="1"/>
    <col min="3" max="3" width="11.5703125" style="51" bestFit="1" customWidth="1"/>
    <col min="4" max="4" width="110.140625" style="51" customWidth="1"/>
    <col min="5" max="5" width="6.5703125" style="51" bestFit="1" customWidth="1"/>
    <col min="6" max="6" width="14.28515625" style="61" customWidth="1"/>
    <col min="7" max="7" width="21" style="51" customWidth="1"/>
    <col min="8" max="8" width="66.85546875" style="51" customWidth="1"/>
    <col min="9" max="9" width="65.7109375" style="51" customWidth="1"/>
    <col min="10" max="10" width="20.140625" style="51" bestFit="1" customWidth="1"/>
    <col min="11" max="11" width="9.140625" style="51"/>
    <col min="12" max="12" width="31" style="51" customWidth="1"/>
    <col min="13" max="16384" width="9.140625" style="51"/>
  </cols>
  <sheetData>
    <row r="1" spans="1:10" ht="15.75" x14ac:dyDescent="0.25">
      <c r="A1" s="269"/>
      <c r="B1" s="270" t="s">
        <v>22</v>
      </c>
      <c r="C1" s="270"/>
      <c r="D1" s="270"/>
      <c r="E1" s="270"/>
      <c r="F1" s="270"/>
      <c r="G1" s="271"/>
      <c r="H1" s="272" t="str">
        <f>Planilha!H1</f>
        <v>COMPOSIÇÃO EM NOVEMBRO DE 2024</v>
      </c>
      <c r="I1" s="272"/>
      <c r="J1" s="272"/>
    </row>
    <row r="2" spans="1:10" ht="36" customHeight="1" x14ac:dyDescent="0.25">
      <c r="A2" s="273"/>
      <c r="B2" s="129"/>
      <c r="C2" s="129"/>
      <c r="D2" s="129"/>
      <c r="E2" s="129"/>
      <c r="F2" s="129"/>
      <c r="G2" s="130"/>
      <c r="H2" s="133" t="str">
        <f>Planilha!H2</f>
        <v>Data-Base: SINAPI/DEZ 2024 -  SUDECAP/OUT 2024 - SETOP/JUL 2024</v>
      </c>
      <c r="I2" s="134"/>
      <c r="J2" s="274"/>
    </row>
    <row r="3" spans="1:10" ht="24.95" customHeight="1" x14ac:dyDescent="0.25">
      <c r="A3" s="273"/>
      <c r="B3" s="131" t="str">
        <f>Planilha!B3</f>
        <v>ESCOPO: REFORMA DA COBERTURA DA CÂMARA MUNICIPAL DE ARCOS</v>
      </c>
      <c r="C3" s="131"/>
      <c r="D3" s="132"/>
      <c r="E3" s="140" t="s">
        <v>9</v>
      </c>
      <c r="F3" s="141"/>
      <c r="G3" s="142"/>
      <c r="H3" s="138" t="s">
        <v>19</v>
      </c>
      <c r="I3" s="139"/>
      <c r="J3" s="275">
        <f>BDI!I7</f>
        <v>0.20301131837419373</v>
      </c>
    </row>
    <row r="4" spans="1:10" ht="24.95" customHeight="1" x14ac:dyDescent="0.25">
      <c r="A4" s="273"/>
      <c r="B4" s="123" t="str">
        <f>Planilha!B4</f>
        <v>LOCAL:  RUA 25 DE DEZEMBRO, 760, CENTRO, ARCOS-MG</v>
      </c>
      <c r="C4" s="123"/>
      <c r="D4" s="124"/>
      <c r="E4" s="143"/>
      <c r="F4" s="276"/>
      <c r="G4" s="145"/>
      <c r="H4" s="120" t="s">
        <v>76</v>
      </c>
      <c r="I4" s="277"/>
      <c r="J4" s="278"/>
    </row>
    <row r="5" spans="1:10" ht="24.95" customHeight="1" thickBot="1" x14ac:dyDescent="0.3">
      <c r="A5" s="279"/>
      <c r="B5" s="125" t="str">
        <f>Planilha!B5</f>
        <v>ÓRGÃO: CÂMARA MUNICIPAL DOS VEREADORES DE ARCOS</v>
      </c>
      <c r="C5" s="125"/>
      <c r="D5" s="126"/>
      <c r="E5" s="146"/>
      <c r="F5" s="147"/>
      <c r="G5" s="148"/>
      <c r="H5" s="149" t="s">
        <v>8</v>
      </c>
      <c r="I5" s="150"/>
      <c r="J5" s="280"/>
    </row>
    <row r="6" spans="1:10" ht="15.75" x14ac:dyDescent="0.25">
      <c r="A6" s="281"/>
      <c r="B6" s="113" t="s">
        <v>1</v>
      </c>
      <c r="C6" s="113" t="s">
        <v>2</v>
      </c>
      <c r="D6" s="113" t="s">
        <v>3</v>
      </c>
      <c r="E6" s="113" t="s">
        <v>0</v>
      </c>
      <c r="F6" s="184" t="s">
        <v>23</v>
      </c>
      <c r="G6" s="184"/>
      <c r="H6" s="186" t="s">
        <v>24</v>
      </c>
      <c r="I6" s="186"/>
      <c r="J6" s="186" t="s">
        <v>25</v>
      </c>
    </row>
    <row r="7" spans="1:10" ht="16.5" thickBot="1" x14ac:dyDescent="0.3">
      <c r="A7" s="281"/>
      <c r="B7" s="114"/>
      <c r="C7" s="114"/>
      <c r="D7" s="114"/>
      <c r="E7" s="114"/>
      <c r="F7" s="185"/>
      <c r="G7" s="185"/>
      <c r="H7" s="187"/>
      <c r="I7" s="187"/>
      <c r="J7" s="187"/>
    </row>
    <row r="8" spans="1:10" ht="16.5" thickBot="1" x14ac:dyDescent="0.3">
      <c r="A8" s="282">
        <f>Planilha!A8</f>
        <v>1</v>
      </c>
      <c r="B8" s="177" t="str">
        <f>Planilha!B8</f>
        <v xml:space="preserve">SERVIÇOS PRELIMINARES </v>
      </c>
      <c r="C8" s="178"/>
      <c r="D8" s="178"/>
      <c r="E8" s="178"/>
      <c r="F8" s="178"/>
      <c r="G8" s="178"/>
      <c r="H8" s="178"/>
      <c r="I8" s="178"/>
      <c r="J8" s="283"/>
    </row>
    <row r="9" spans="1:10" ht="30" x14ac:dyDescent="0.25">
      <c r="A9" s="53" t="str">
        <f>Planilha!A9</f>
        <v>Sudecap (Construção)</v>
      </c>
      <c r="B9" s="53" t="str">
        <f>Planilha!B9</f>
        <v>01.03.03</v>
      </c>
      <c r="C9" s="54" t="str">
        <f>Planilha!C9</f>
        <v>1.1</v>
      </c>
      <c r="D9" s="55" t="str">
        <f>Planilha!D9</f>
        <v xml:space="preserve"> PLACA DE OBRA EM CHAPA GALVANIZADA ADESIVADA, DIMENSÕES  2,40 X 1,20 M, PADRÃO CE</v>
      </c>
      <c r="E9" s="53" t="str">
        <f>Planilha!E9</f>
        <v>m²</v>
      </c>
      <c r="F9" s="174" t="s">
        <v>34</v>
      </c>
      <c r="G9" s="174"/>
      <c r="H9" s="174" t="s">
        <v>68</v>
      </c>
      <c r="I9" s="174"/>
      <c r="J9" s="90">
        <f>1.5*3</f>
        <v>4.5</v>
      </c>
    </row>
    <row r="10" spans="1:10" ht="16.5" thickBot="1" x14ac:dyDescent="0.3">
      <c r="A10" s="57" t="str">
        <f>Planilha!A10</f>
        <v>CREA/MG</v>
      </c>
      <c r="B10" s="57" t="str">
        <f>Planilha!B10</f>
        <v>CREA/MG</v>
      </c>
      <c r="C10" s="58" t="str">
        <f>Planilha!C10</f>
        <v>1.2</v>
      </c>
      <c r="D10" s="59" t="str">
        <f>Planilha!D10</f>
        <v>ANOTAÇÃO DE RESPONSABILIDADE TÉCNICA DE EXECUÇÃO / EMISSÃO DE CAT</v>
      </c>
      <c r="E10" s="57" t="str">
        <f>Planilha!E10</f>
        <v>vb</v>
      </c>
      <c r="F10" s="173" t="s">
        <v>35</v>
      </c>
      <c r="G10" s="173"/>
      <c r="H10" s="173" t="s">
        <v>36</v>
      </c>
      <c r="I10" s="173"/>
      <c r="J10" s="91">
        <v>1</v>
      </c>
    </row>
    <row r="11" spans="1:10" ht="16.5" thickBot="1" x14ac:dyDescent="0.3">
      <c r="A11" s="282">
        <f>Planilha!A11</f>
        <v>2</v>
      </c>
      <c r="B11" s="177" t="str">
        <f>Planilha!B11</f>
        <v>DEMOLIÇÃO E AFASTAMENTOS</v>
      </c>
      <c r="C11" s="178"/>
      <c r="D11" s="178"/>
      <c r="E11" s="178"/>
      <c r="F11" s="178"/>
      <c r="G11" s="178"/>
      <c r="H11" s="178"/>
      <c r="I11" s="178"/>
      <c r="J11" s="283"/>
    </row>
    <row r="12" spans="1:10" ht="45" x14ac:dyDescent="0.25">
      <c r="A12" s="57" t="str">
        <f>Planilha!A12</f>
        <v>Cotação - média</v>
      </c>
      <c r="B12" s="57" t="str">
        <f>Planilha!B12</f>
        <v>Climaforte
Arconfrio</v>
      </c>
      <c r="C12" s="58" t="str">
        <f>Planilha!C12</f>
        <v>2.1</v>
      </c>
      <c r="D12" s="59" t="str">
        <f>Planilha!D12</f>
        <v>REMOÇÃO DE UNIDADES CONDENSADORAS DE AR CONDICIONADO DE 64.000 BTUS PARA DEMOLIÇÃO DAS PLATIBANDAS DA COBERTURA DO PLENÁRIO INCLUSIVE HIGIENIZAÇÃO E LIMPEZA DAS EVAPORADORAS E CONDENSADORAS</v>
      </c>
      <c r="E12" s="57" t="str">
        <f>Planilha!E12</f>
        <v>un</v>
      </c>
      <c r="F12" s="173" t="s">
        <v>118</v>
      </c>
      <c r="G12" s="173"/>
      <c r="H12" s="174">
        <v>5</v>
      </c>
      <c r="I12" s="174"/>
      <c r="J12" s="91">
        <v>5</v>
      </c>
    </row>
    <row r="13" spans="1:10" ht="45" x14ac:dyDescent="0.25">
      <c r="A13" s="57" t="str">
        <f>Planilha!A13</f>
        <v>Cotação - média</v>
      </c>
      <c r="B13" s="57" t="str">
        <f>Planilha!B13</f>
        <v>Climaforte
Arconfrio</v>
      </c>
      <c r="C13" s="58" t="str">
        <f>Planilha!C13</f>
        <v>2.2</v>
      </c>
      <c r="D13" s="59" t="str">
        <f>Planilha!D13</f>
        <v>REMOÇÃO DE UNIDADES CONDENSADORAS DE AR CONDICIONADO DE 9.000 A 18.000 BTUS PARA TRATAMENTO DAS PLATIBANDAS DA COBERTURA DO PRINCIPAL INCLUSIVE HIGIENIZAÇÃO E LIMPEZA DAS EVAPORADORAS E CONDENSADORAS</v>
      </c>
      <c r="E13" s="57" t="str">
        <f>Planilha!E13</f>
        <v>un</v>
      </c>
      <c r="F13" s="173" t="s">
        <v>118</v>
      </c>
      <c r="G13" s="173"/>
      <c r="H13" s="175">
        <v>10</v>
      </c>
      <c r="I13" s="176"/>
      <c r="J13" s="91">
        <v>10</v>
      </c>
    </row>
    <row r="14" spans="1:10" ht="54.6" customHeight="1" x14ac:dyDescent="0.25">
      <c r="A14" s="57" t="str">
        <f>Planilha!A14</f>
        <v>Cotação - média</v>
      </c>
      <c r="B14" s="57" t="str">
        <f>Planilha!B14</f>
        <v>Solar Brazil
Eletrovan
Lions Elétrica</v>
      </c>
      <c r="C14" s="58" t="str">
        <f>Planilha!C14</f>
        <v>2.3</v>
      </c>
      <c r="D14" s="59" t="str">
        <f>Planilha!D14</f>
        <v>REMOCAO DAS UNIDADES DE PLACAS FOTOVOLTAICAS, INCLUSIVE ESTRUTURA E REMONTAGEM, EXCLUSIVE IÇAMENTO E TRASNPORTE DAS PLACAS</v>
      </c>
      <c r="E14" s="57" t="str">
        <f>Planilha!E14</f>
        <v>un</v>
      </c>
      <c r="F14" s="175" t="s">
        <v>166</v>
      </c>
      <c r="G14" s="176"/>
      <c r="H14" s="175" t="s">
        <v>36</v>
      </c>
      <c r="I14" s="176"/>
      <c r="J14" s="91">
        <v>1</v>
      </c>
    </row>
    <row r="15" spans="1:10" ht="56.45" customHeight="1" x14ac:dyDescent="0.25">
      <c r="A15" s="57" t="str">
        <f>Planilha!A15</f>
        <v>SINAPI (sintético)</v>
      </c>
      <c r="B15" s="57">
        <f>Planilha!B15</f>
        <v>97649</v>
      </c>
      <c r="C15" s="58" t="str">
        <f>Planilha!C15</f>
        <v>2.4</v>
      </c>
      <c r="D15" s="59" t="str">
        <f>Planilha!D15</f>
        <v>REMOÇÃO DE TELHAS METÁLICAS TIPO SANDUICHE, DE FORMA MECANIZADA, COM USO DE GUINDASTE, SEM REAPROVEITAMENTO.</v>
      </c>
      <c r="E15" s="57" t="str">
        <f>Planilha!E15</f>
        <v>m²</v>
      </c>
      <c r="F15" s="173" t="s">
        <v>101</v>
      </c>
      <c r="G15" s="173"/>
      <c r="H15" s="174" t="s">
        <v>102</v>
      </c>
      <c r="I15" s="174"/>
      <c r="J15" s="91">
        <f>(174.56+387.21)+5%*(174.56+387.21)</f>
        <v>589.85849999999994</v>
      </c>
    </row>
    <row r="16" spans="1:10" ht="89.45" customHeight="1" x14ac:dyDescent="0.25">
      <c r="A16" s="57" t="str">
        <f>Planilha!A16</f>
        <v>SINAPI (sintético)</v>
      </c>
      <c r="B16" s="57">
        <f>Planilha!B16</f>
        <v>104803</v>
      </c>
      <c r="C16" s="58" t="str">
        <f>Planilha!C16</f>
        <v>2.5</v>
      </c>
      <c r="D16" s="59" t="str">
        <f>Planilha!D16</f>
        <v>REMOÇÃO DE CALHAS E RUFOS, DE FORMA MANUAL, SEM REAPROVEITAMENTO - Calhas</v>
      </c>
      <c r="E16" s="57" t="str">
        <f>Planilha!E16</f>
        <v>m</v>
      </c>
      <c r="F16" s="173" t="s">
        <v>115</v>
      </c>
      <c r="G16" s="173"/>
      <c r="H16" s="174" t="s">
        <v>119</v>
      </c>
      <c r="I16" s="174"/>
      <c r="J16" s="91">
        <f>34.83+13.64+30.14</f>
        <v>78.61</v>
      </c>
    </row>
    <row r="17" spans="1:10" ht="93" customHeight="1" x14ac:dyDescent="0.25">
      <c r="A17" s="57" t="str">
        <f>Planilha!A17</f>
        <v>SINAPI (sintético)</v>
      </c>
      <c r="B17" s="57">
        <f>Planilha!B17</f>
        <v>104803</v>
      </c>
      <c r="C17" s="58" t="str">
        <f>Planilha!C17</f>
        <v>2.6</v>
      </c>
      <c r="D17" s="59" t="str">
        <f>Planilha!D17</f>
        <v>REMOÇÃO DE CALHAS E RUFOS, DE FORMA MANUAL, SEM REAPROVEITAMENTO - Rufos</v>
      </c>
      <c r="E17" s="57" t="str">
        <f>Planilha!E17</f>
        <v>m</v>
      </c>
      <c r="F17" s="173" t="s">
        <v>116</v>
      </c>
      <c r="G17" s="173"/>
      <c r="H17" s="174" t="s">
        <v>117</v>
      </c>
      <c r="I17" s="174"/>
      <c r="J17" s="91">
        <f>67.98+50.94</f>
        <v>118.92</v>
      </c>
    </row>
    <row r="18" spans="1:10" ht="72" customHeight="1" thickBot="1" x14ac:dyDescent="0.3">
      <c r="A18" s="57" t="str">
        <f>Planilha!A18</f>
        <v>Setop</v>
      </c>
      <c r="B18" s="57" t="str">
        <f>Planilha!B18</f>
        <v xml:space="preserve"> ED-48454</v>
      </c>
      <c r="C18" s="58" t="str">
        <f>Planilha!C18</f>
        <v>2.7</v>
      </c>
      <c r="D18" s="59" t="str">
        <f>Planilha!D18</f>
        <v>REMOÇÃO MANUAL DE ENGRADAMENTO PARA TELHA TIPO METÁLICA, PVC OU FIBROCIMENTO, COM REAPROVEITAMENTO, INCLUSIVE AFASTAMENTO E EMPILHAMENTO, EXCLUSIVE TRANSPORTE E RETIRADA DO MATERIAL REMOVIDO NÃO REAPROVEITÁVEL</v>
      </c>
      <c r="E18" s="57" t="str">
        <f>Planilha!E18</f>
        <v>m²</v>
      </c>
      <c r="F18" s="173" t="s">
        <v>101</v>
      </c>
      <c r="G18" s="173"/>
      <c r="H18" s="174" t="s">
        <v>102</v>
      </c>
      <c r="I18" s="174"/>
      <c r="J18" s="91">
        <f>(174.56+387.21)+5%*(174.56+387.21)</f>
        <v>589.85849999999994</v>
      </c>
    </row>
    <row r="19" spans="1:10" ht="16.5" thickBot="1" x14ac:dyDescent="0.3">
      <c r="A19" s="282">
        <f>Planilha!A19</f>
        <v>3</v>
      </c>
      <c r="B19" s="177" t="str">
        <f>Planilha!B19</f>
        <v>RECUPERAÇÃO DA COBERTURA</v>
      </c>
      <c r="C19" s="178"/>
      <c r="D19" s="178"/>
      <c r="E19" s="178"/>
      <c r="F19" s="178"/>
      <c r="G19" s="178"/>
      <c r="H19" s="178"/>
      <c r="I19" s="178"/>
      <c r="J19" s="283"/>
    </row>
    <row r="20" spans="1:10" ht="60.6" customHeight="1" x14ac:dyDescent="0.25">
      <c r="A20" s="57" t="str">
        <f>Planilha!A20</f>
        <v>Setop</v>
      </c>
      <c r="B20" s="57" t="str">
        <f>Planilha!B20</f>
        <v>ED-50653</v>
      </c>
      <c r="C20" s="58" t="str">
        <f>Planilha!C20</f>
        <v>3.1</v>
      </c>
      <c r="D20" s="59" t="str">
        <f>Planilha!D20</f>
        <v xml:space="preserve">CALHA EM CHAPA GALVANIZADA, ESP. 0,8MM (GSG-22), COM DESENVOLVIMENTO DE 100CM, INCLUSIVE IÇAMENTO MANUAL  VERTICAL
</v>
      </c>
      <c r="E20" s="57" t="str">
        <f>Planilha!E20</f>
        <v>m</v>
      </c>
      <c r="F20" s="173" t="s">
        <v>181</v>
      </c>
      <c r="G20" s="173"/>
      <c r="H20" s="188" t="s">
        <v>184</v>
      </c>
      <c r="I20" s="189"/>
      <c r="J20" s="91">
        <f>(34.83+13.64+30.14)</f>
        <v>78.61</v>
      </c>
    </row>
    <row r="21" spans="1:10" ht="60.6" customHeight="1" x14ac:dyDescent="0.25">
      <c r="A21" s="57" t="str">
        <f>Planilha!A21</f>
        <v>SINAPI (insumos)</v>
      </c>
      <c r="B21" s="57">
        <f>Planilha!B21</f>
        <v>12869</v>
      </c>
      <c r="C21" s="58" t="str">
        <f>Planilha!C21</f>
        <v>3.2</v>
      </c>
      <c r="D21" s="59" t="str">
        <f>Planilha!D21</f>
        <v>TELHADOR / TELHADISTA (HORISTA)</v>
      </c>
      <c r="E21" s="57" t="str">
        <f>Planilha!E21</f>
        <v>h</v>
      </c>
      <c r="F21" s="175" t="s">
        <v>180</v>
      </c>
      <c r="G21" s="176"/>
      <c r="H21" s="175" t="s">
        <v>182</v>
      </c>
      <c r="I21" s="176"/>
      <c r="J21" s="284">
        <f>(30.14+34.64+13.64)*0.54</f>
        <v>42.346800000000002</v>
      </c>
    </row>
    <row r="22" spans="1:10" ht="111.6" customHeight="1" x14ac:dyDescent="0.25">
      <c r="A22" s="57" t="str">
        <f>Planilha!A22</f>
        <v>SINAPI (sintético)</v>
      </c>
      <c r="B22" s="57">
        <f>Planilha!B22</f>
        <v>100764</v>
      </c>
      <c r="C22" s="58" t="str">
        <f>Planilha!C22</f>
        <v>3.3</v>
      </c>
      <c r="D22" s="59" t="str">
        <f>Planilha!D22</f>
        <v>VIGA METÁLICA EM PERFIL LAMINADO OU SOLDADO EM AÇO ESTRUTURAL, COM CONEXÕES SOLDADAS, INCLUSOS MÃO DE OBRA, TRANSPORTE E IÇAMENTO UTILIZANDO GUINDASTE - FORNECIMENTO E INSTALAÇÃO DESTINADO A TODOS OS COMPONENTES EM ESTRUTURAS METALICAS PARA ENGRADAMENTO, PRESILHAS SUPORTES E DEMAIS ITENS DO PROJETO ESTRUTURAL</v>
      </c>
      <c r="E22" s="57" t="str">
        <f>Planilha!E22</f>
        <v>kg</v>
      </c>
      <c r="F22" s="175" t="s">
        <v>175</v>
      </c>
      <c r="G22" s="176"/>
      <c r="H22" s="175" t="s">
        <v>177</v>
      </c>
      <c r="I22" s="176"/>
      <c r="J22" s="284">
        <v>1044.8</v>
      </c>
    </row>
    <row r="23" spans="1:10" ht="100.15" customHeight="1" x14ac:dyDescent="0.25">
      <c r="A23" s="57" t="str">
        <f>Planilha!A23</f>
        <v>SINAPI (sintético)</v>
      </c>
      <c r="B23" s="57">
        <f>Planilha!B23</f>
        <v>100768</v>
      </c>
      <c r="C23" s="58" t="str">
        <f>Planilha!C23</f>
        <v>3.4</v>
      </c>
      <c r="D23" s="59" t="str">
        <f>Planilha!D23</f>
        <v>CONTRAVENTAMENTO COM BARRA REDONDA DIÂMETRO , ABAS IGUAIS, COM CONEXÕES SOLDADAS, INCLUSOS MÃO DE OBRA, TRANSPORTE E IÇAMENTO UTILIZANDO TALHA MANUAL, PARA EDIFÍCIOS DE ATÉ 2 PAVIMENTOS - FORNECIMENTO E INSTALAÇÃO.</v>
      </c>
      <c r="E23" s="57" t="str">
        <f>Planilha!E23</f>
        <v>kg</v>
      </c>
      <c r="F23" s="175" t="s">
        <v>176</v>
      </c>
      <c r="G23" s="176"/>
      <c r="H23" s="175" t="s">
        <v>195</v>
      </c>
      <c r="I23" s="176"/>
      <c r="J23" s="284">
        <f>364.32</f>
        <v>364.32</v>
      </c>
    </row>
    <row r="24" spans="1:10" ht="49.15" customHeight="1" x14ac:dyDescent="0.25">
      <c r="A24" s="57" t="str">
        <f>Planilha!A24</f>
        <v>SINAPI (sintético)</v>
      </c>
      <c r="B24" s="57">
        <f>Planilha!B24</f>
        <v>94216</v>
      </c>
      <c r="C24" s="58" t="str">
        <f>Planilha!C24</f>
        <v>3.5</v>
      </c>
      <c r="D24" s="59" t="str">
        <f>Planilha!D24</f>
        <v>TELHAMENTO COM TELHA METÁLICA TERMOACÚSTICA E = 30 MM, INCLUSO IÇAMENTO</v>
      </c>
      <c r="E24" s="57" t="str">
        <f>Planilha!E24</f>
        <v>m²</v>
      </c>
      <c r="F24" s="173" t="s">
        <v>120</v>
      </c>
      <c r="G24" s="173"/>
      <c r="H24" s="174" t="s">
        <v>185</v>
      </c>
      <c r="I24" s="174"/>
      <c r="J24" s="91">
        <f>(174.56+387.21)+5%*(174.56+387.21)</f>
        <v>589.85849999999994</v>
      </c>
    </row>
    <row r="25" spans="1:10" ht="90" customHeight="1" x14ac:dyDescent="0.25">
      <c r="A25" s="57" t="str">
        <f>Planilha!A25</f>
        <v>SINAPI (sintético)</v>
      </c>
      <c r="B25" s="57">
        <f>Planilha!B25</f>
        <v>94231</v>
      </c>
      <c r="C25" s="58" t="str">
        <f>Planilha!C25</f>
        <v>3.6</v>
      </c>
      <c r="D25" s="59" t="str">
        <f>Planilha!D25</f>
        <v>RUFO EM CHAPA DE AÇO GALVANIZADO NÚMERO 24, CORTE DE 25 CM, INCLUSO TRANSPORTE VERTICAL.</v>
      </c>
      <c r="E25" s="57" t="str">
        <f>Planilha!E25</f>
        <v>m</v>
      </c>
      <c r="F25" s="173" t="s">
        <v>121</v>
      </c>
      <c r="G25" s="173"/>
      <c r="H25" s="174" t="s">
        <v>186</v>
      </c>
      <c r="I25" s="174"/>
      <c r="J25" s="91">
        <f>67.98+50.94</f>
        <v>118.92</v>
      </c>
    </row>
    <row r="26" spans="1:10" ht="62.45" customHeight="1" x14ac:dyDescent="0.25">
      <c r="A26" s="57" t="str">
        <f>Planilha!A26</f>
        <v>Setop</v>
      </c>
      <c r="B26" s="57" t="str">
        <f>Planilha!B26</f>
        <v xml:space="preserve"> ED-52311</v>
      </c>
      <c r="C26" s="58" t="str">
        <f>Planilha!C26</f>
        <v>3.7</v>
      </c>
      <c r="D26" s="59" t="str">
        <f>Planilha!D26</f>
        <v>MANTA ISOLANTE/TÉRMICA PARA TELHADO, EXCLUSIVE CONTACAIBRO</v>
      </c>
      <c r="E26" s="57" t="str">
        <f>Planilha!E26</f>
        <v>m²</v>
      </c>
      <c r="F26" s="173" t="s">
        <v>173</v>
      </c>
      <c r="G26" s="173"/>
      <c r="H26" s="175" t="s">
        <v>187</v>
      </c>
      <c r="I26" s="176"/>
      <c r="J26" s="284">
        <f>30.14*1.28+31.45*0.9+((3.88+2.36)*19.5)/2+1.5*38.43+((1.1+1.44)*13.64)/2+19.68*1.12+3.74*1.72+((1.12+1.72)*12.82)/2*1.1</f>
        <v>251.19123999999996</v>
      </c>
    </row>
    <row r="27" spans="1:10" ht="87" customHeight="1" x14ac:dyDescent="0.25">
      <c r="A27" s="57" t="str">
        <f>Planilha!A27</f>
        <v>Sinapi (Insumos)</v>
      </c>
      <c r="B27" s="57">
        <f>Planilha!B27</f>
        <v>38123</v>
      </c>
      <c r="C27" s="58" t="str">
        <f>Planilha!C27</f>
        <v>3.8</v>
      </c>
      <c r="D27" s="59" t="str">
        <f>Planilha!D27</f>
        <v>SELANTE TIPO VEDA CALHA PARA METAL E FIBROCIMENTO</v>
      </c>
      <c r="E27" s="57" t="str">
        <f>Planilha!E27</f>
        <v>Kg</v>
      </c>
      <c r="F27" s="173" t="s">
        <v>174</v>
      </c>
      <c r="G27" s="173"/>
      <c r="H27" s="175" t="s">
        <v>188</v>
      </c>
      <c r="I27" s="176"/>
      <c r="J27" s="284">
        <f>ROUNDUP((2.28+21.24+7.83+4.92)/10,0)</f>
        <v>4</v>
      </c>
    </row>
    <row r="28" spans="1:10" ht="49.9" customHeight="1" x14ac:dyDescent="0.25">
      <c r="A28" s="57" t="str">
        <f>Planilha!A28</f>
        <v>Sinapi (Insumos)</v>
      </c>
      <c r="B28" s="57">
        <f>Planilha!B28</f>
        <v>9836</v>
      </c>
      <c r="C28" s="58" t="str">
        <f>Planilha!C28</f>
        <v>3.9</v>
      </c>
      <c r="D28" s="59" t="str">
        <f>Planilha!D28</f>
        <v>TUBO PVC SERIE NORMAL, DN 100 MM, PARA ESGOTO PREDIAL (NBR 5688)</v>
      </c>
      <c r="E28" s="57" t="str">
        <f>Planilha!E28</f>
        <v>m</v>
      </c>
      <c r="F28" s="173" t="s">
        <v>158</v>
      </c>
      <c r="G28" s="173"/>
      <c r="H28" s="175" t="s">
        <v>154</v>
      </c>
      <c r="I28" s="176"/>
      <c r="J28" s="284">
        <f>(8+6.5+5)*1.5</f>
        <v>29.25</v>
      </c>
    </row>
    <row r="29" spans="1:10" ht="49.9" customHeight="1" x14ac:dyDescent="0.25">
      <c r="A29" s="57" t="str">
        <f>Planilha!A29</f>
        <v>Sinapi (Insumos)</v>
      </c>
      <c r="B29" s="57">
        <f>Planilha!B29</f>
        <v>3520</v>
      </c>
      <c r="C29" s="58" t="str">
        <f>Planilha!C29</f>
        <v>3.10</v>
      </c>
      <c r="D29" s="59" t="str">
        <f>Planilha!D29</f>
        <v>JOELHO PVC, SOLDAVEL, PB, 90 GRAUS, DN 100 MM, PARA ESGOTO PREDIAL</v>
      </c>
      <c r="E29" s="57" t="str">
        <f>Planilha!E29</f>
        <v>un</v>
      </c>
      <c r="F29" s="173" t="s">
        <v>159</v>
      </c>
      <c r="G29" s="173"/>
      <c r="H29" s="175" t="s">
        <v>155</v>
      </c>
      <c r="I29" s="176"/>
      <c r="J29" s="284">
        <v>6</v>
      </c>
    </row>
    <row r="30" spans="1:10" ht="49.9" customHeight="1" x14ac:dyDescent="0.25">
      <c r="A30" s="57" t="str">
        <f>Planilha!A30</f>
        <v>Setop</v>
      </c>
      <c r="B30" s="57" t="str">
        <f>Planilha!B30</f>
        <v>ED-48435</v>
      </c>
      <c r="C30" s="58" t="str">
        <f>Planilha!C30</f>
        <v>3.11</v>
      </c>
      <c r="D30" s="59" t="str">
        <f>Planilha!D30</f>
        <v>DEMOLIÇÃO MANUAL DE ALVENARIA DE TIJOLO CERÂMICO OU BLOCO DE CONCRETO, INCLUSIVE AFASTAMENTO E EMPILHAMENTO, EXCLUSIVE TRANSPORTE E RETIRADA DO MATERIAL DEMOLIDO</v>
      </c>
      <c r="E30" s="57" t="str">
        <f>Planilha!E30</f>
        <v>m³</v>
      </c>
      <c r="F30" s="173" t="s">
        <v>160</v>
      </c>
      <c r="G30" s="173"/>
      <c r="H30" s="175" t="s">
        <v>162</v>
      </c>
      <c r="I30" s="176"/>
      <c r="J30" s="285">
        <f>0.15*0.15*0.25*2</f>
        <v>1.125E-2</v>
      </c>
    </row>
    <row r="31" spans="1:10" ht="49.9" customHeight="1" thickBot="1" x14ac:dyDescent="0.3">
      <c r="A31" s="57" t="str">
        <f>Planilha!A31</f>
        <v>Sinapi (Insumos)</v>
      </c>
      <c r="B31" s="57">
        <f>Planilha!B31</f>
        <v>39145</v>
      </c>
      <c r="C31" s="58" t="str">
        <f>Planilha!C31</f>
        <v>3.12</v>
      </c>
      <c r="D31" s="59" t="str">
        <f>Planilha!D31</f>
        <v>ABRACADEIRA EM ACO PARA AMARRACAO DE ELETRODUTOS, TIPO U SIMPLES, COM 4"</v>
      </c>
      <c r="E31" s="57" t="str">
        <f>Planilha!E31</f>
        <v>un</v>
      </c>
      <c r="F31" s="173" t="s">
        <v>161</v>
      </c>
      <c r="G31" s="173"/>
      <c r="H31" s="175" t="s">
        <v>156</v>
      </c>
      <c r="I31" s="176"/>
      <c r="J31" s="284">
        <v>10</v>
      </c>
    </row>
    <row r="32" spans="1:10" ht="16.5" thickBot="1" x14ac:dyDescent="0.3">
      <c r="A32" s="282">
        <f>Planilha!A32</f>
        <v>4</v>
      </c>
      <c r="B32" s="177" t="str">
        <f>Planilha!B32</f>
        <v>RECUPERAÇÃO DE FORRO DE GESSO E PINTURA</v>
      </c>
      <c r="C32" s="178"/>
      <c r="D32" s="178"/>
      <c r="E32" s="178"/>
      <c r="F32" s="178"/>
      <c r="G32" s="178"/>
      <c r="H32" s="178"/>
      <c r="I32" s="178"/>
      <c r="J32" s="283"/>
    </row>
    <row r="33" spans="1:10" ht="30" x14ac:dyDescent="0.25">
      <c r="A33" s="57" t="str">
        <f>Planilha!A33</f>
        <v>Sudecap (Construção)</v>
      </c>
      <c r="B33" s="57" t="str">
        <f>Planilha!B33</f>
        <v>01.29.06</v>
      </c>
      <c r="C33" s="58" t="str">
        <f>Planilha!C33</f>
        <v>4.1</v>
      </c>
      <c r="D33" s="59" t="str">
        <f>Planilha!D33</f>
        <v>ANDAIME METÁLICO TIPO FACHADEIRO, INCLUINDO SAPATAS AJUSTÁVEIS, PISO METÁLICO E ESCADA PARA 1 MÊS</v>
      </c>
      <c r="E33" s="57" t="str">
        <f>Planilha!E33</f>
        <v>m²</v>
      </c>
      <c r="F33" s="173" t="s">
        <v>137</v>
      </c>
      <c r="G33" s="173"/>
      <c r="H33" s="175" t="s">
        <v>139</v>
      </c>
      <c r="I33" s="176"/>
      <c r="J33" s="91">
        <f>37.5*6</f>
        <v>225</v>
      </c>
    </row>
    <row r="34" spans="1:10" ht="31.9" customHeight="1" x14ac:dyDescent="0.25">
      <c r="A34" s="57" t="str">
        <f>Planilha!A34</f>
        <v>Sudecap (Construção)</v>
      </c>
      <c r="B34" s="57" t="str">
        <f>Planilha!B34</f>
        <v>01.29.11</v>
      </c>
      <c r="C34" s="58" t="str">
        <f>Planilha!C34</f>
        <v>4.2</v>
      </c>
      <c r="D34" s="59" t="str">
        <f>Planilha!D34</f>
        <v xml:space="preserve">MONTAGEM DE ANDAIME DO TIPO TORRE ADP REF 97064 CONSIDERANDO 6 PONTOS </v>
      </c>
      <c r="E34" s="57" t="str">
        <f>Planilha!E34</f>
        <v>m</v>
      </c>
      <c r="F34" s="173" t="s">
        <v>137</v>
      </c>
      <c r="G34" s="173"/>
      <c r="H34" s="175" t="s">
        <v>200</v>
      </c>
      <c r="I34" s="176"/>
      <c r="J34" s="91">
        <f>37.5*6</f>
        <v>225</v>
      </c>
    </row>
    <row r="35" spans="1:10" ht="34.15" customHeight="1" x14ac:dyDescent="0.25">
      <c r="A35" s="57" t="str">
        <f>Planilha!A35</f>
        <v>Sudecap (Construção)</v>
      </c>
      <c r="B35" s="57" t="str">
        <f>Planilha!B35</f>
        <v>01.29.12</v>
      </c>
      <c r="C35" s="58" t="str">
        <f>Planilha!C35</f>
        <v>4.3</v>
      </c>
      <c r="D35" s="59" t="str">
        <f>Planilha!D35</f>
        <v xml:space="preserve">DESMONTAGEM DE ANDAIME DO TIPO TORRE ADP REF 97064 CONSIDERANDO 6 PONTOS </v>
      </c>
      <c r="E35" s="57" t="str">
        <f>Planilha!E35</f>
        <v>m</v>
      </c>
      <c r="F35" s="173" t="s">
        <v>137</v>
      </c>
      <c r="G35" s="173"/>
      <c r="H35" s="175" t="s">
        <v>200</v>
      </c>
      <c r="I35" s="176"/>
      <c r="J35" s="91">
        <f>37.5*6</f>
        <v>225</v>
      </c>
    </row>
    <row r="36" spans="1:10" ht="141.6" customHeight="1" x14ac:dyDescent="0.25">
      <c r="A36" s="57" t="str">
        <f>Planilha!A36</f>
        <v>SINAPI (sintético)</v>
      </c>
      <c r="B36" s="57">
        <f>Planilha!B36</f>
        <v>99804</v>
      </c>
      <c r="C36" s="58" t="str">
        <f>Planilha!C36</f>
        <v>4.4</v>
      </c>
      <c r="D36" s="59" t="str">
        <f>Planilha!D36</f>
        <v>REMOÇÃO DE FORRO DE GESSO, DE FORMA MANUAL, SEM REAPROVEITAMENTO.</v>
      </c>
      <c r="E36" s="57" t="str">
        <f>Planilha!E36</f>
        <v>m²</v>
      </c>
      <c r="F36" s="173" t="s">
        <v>138</v>
      </c>
      <c r="G36" s="173"/>
      <c r="H36" s="175" t="s">
        <v>202</v>
      </c>
      <c r="I36" s="176"/>
      <c r="J36" s="91">
        <f>(0.25+0.27+0.39+0.39+0.21+27.39+2.3+2.9)*1.4</f>
        <v>47.74</v>
      </c>
    </row>
    <row r="37" spans="1:10" ht="15.75" x14ac:dyDescent="0.25">
      <c r="A37" s="57" t="str">
        <f>Planilha!A37</f>
        <v>SINAPI (sintético)</v>
      </c>
      <c r="B37" s="57">
        <f>Planilha!B37</f>
        <v>96113</v>
      </c>
      <c r="C37" s="58" t="str">
        <f>Planilha!C37</f>
        <v>4.5</v>
      </c>
      <c r="D37" s="59" t="str">
        <f>Planilha!D37</f>
        <v>FORRO EM PLACAS DE GESSO, PARA AMBIENTES COMERCIAIS</v>
      </c>
      <c r="E37" s="57" t="str">
        <f>Planilha!E37</f>
        <v>m²</v>
      </c>
      <c r="F37" s="173" t="s">
        <v>138</v>
      </c>
      <c r="G37" s="173"/>
      <c r="H37" s="175" t="s">
        <v>202</v>
      </c>
      <c r="I37" s="176"/>
      <c r="J37" s="91">
        <f>(0.25+0.27+0.39+0.39+0.21+27.39+2.3+2.9)*1.4</f>
        <v>47.74</v>
      </c>
    </row>
    <row r="38" spans="1:10" ht="145.5" customHeight="1" x14ac:dyDescent="0.25">
      <c r="A38" s="57" t="str">
        <f>Planilha!A38</f>
        <v>SINAPI (sintético)</v>
      </c>
      <c r="B38" s="57">
        <f>Planilha!B38</f>
        <v>88494</v>
      </c>
      <c r="C38" s="58" t="str">
        <f>Planilha!C38</f>
        <v>4.6</v>
      </c>
      <c r="D38" s="59" t="str">
        <f>Planilha!D38</f>
        <v>EMASSAMENTO COM MASSA LÁTEX, APLICAÇÃO EM TETO, UMA DEMÃO, LIXAMENTO</v>
      </c>
      <c r="E38" s="57" t="str">
        <f>Planilha!E38</f>
        <v>m²</v>
      </c>
      <c r="F38" s="173" t="s">
        <v>138</v>
      </c>
      <c r="G38" s="173"/>
      <c r="H38" s="175" t="s">
        <v>202</v>
      </c>
      <c r="I38" s="176"/>
      <c r="J38" s="91">
        <f>(0.25+0.27+0.39+0.39+0.21+27.39+2.3+2.9)*1.4</f>
        <v>47.74</v>
      </c>
    </row>
    <row r="39" spans="1:10" ht="132.6" customHeight="1" thickBot="1" x14ac:dyDescent="0.3">
      <c r="A39" s="57" t="str">
        <f>Planilha!A39</f>
        <v>SINAPI (sintético)</v>
      </c>
      <c r="B39" s="57">
        <f>Planilha!B39</f>
        <v>88488</v>
      </c>
      <c r="C39" s="58" t="str">
        <f>Planilha!C39</f>
        <v>4.7</v>
      </c>
      <c r="D39" s="59" t="str">
        <f>Planilha!D39</f>
        <v>PINTURA LÁTEX ACRÍLICA PREMIUM, APLICAÇÃO MANUAL EM TETO, DUAS DEMÃOS</v>
      </c>
      <c r="E39" s="57" t="str">
        <f>Planilha!E39</f>
        <v>m²</v>
      </c>
      <c r="F39" s="173" t="s">
        <v>138</v>
      </c>
      <c r="G39" s="173"/>
      <c r="H39" s="175" t="s">
        <v>202</v>
      </c>
      <c r="I39" s="176"/>
      <c r="J39" s="91">
        <f>(0.25+0.27+0.39+0.39+0.21+27.39+2.3+2.9)*1.4</f>
        <v>47.74</v>
      </c>
    </row>
    <row r="40" spans="1:10" ht="16.5" thickBot="1" x14ac:dyDescent="0.3">
      <c r="A40" s="282">
        <f>Planilha!A40</f>
        <v>4</v>
      </c>
      <c r="B40" s="177" t="str">
        <f>Planilha!B40</f>
        <v>LIMPEZA FINAL PARA ENTREGA DA OBRA</v>
      </c>
      <c r="C40" s="178"/>
      <c r="D40" s="178"/>
      <c r="E40" s="178"/>
      <c r="F40" s="178"/>
      <c r="G40" s="178"/>
      <c r="H40" s="178"/>
      <c r="I40" s="178"/>
      <c r="J40" s="283"/>
    </row>
    <row r="41" spans="1:10" ht="157.9" customHeight="1" thickBot="1" x14ac:dyDescent="0.3">
      <c r="A41" s="53" t="str">
        <f>Planilha!A41</f>
        <v>SINAPI (sintético)</v>
      </c>
      <c r="B41" s="53">
        <f>Planilha!B41</f>
        <v>99804</v>
      </c>
      <c r="C41" s="54" t="str">
        <f>Planilha!C41</f>
        <v>4.1</v>
      </c>
      <c r="D41" s="55" t="str">
        <f>Planilha!D41</f>
        <v>LIMPEZA FINAL PARA ENTREGA DA OBRA</v>
      </c>
      <c r="E41" s="53" t="str">
        <f>Planilha!E41</f>
        <v>m²</v>
      </c>
      <c r="F41" s="174" t="s">
        <v>172</v>
      </c>
      <c r="G41" s="174"/>
      <c r="H41" s="181" t="s">
        <v>192</v>
      </c>
      <c r="I41" s="182"/>
      <c r="J41" s="91">
        <f>0.25+0.27+0.39+0.39+0.21+27.39+2.3+2.9+589.86</f>
        <v>623.96</v>
      </c>
    </row>
    <row r="42" spans="1:10" ht="15.75" x14ac:dyDescent="0.25">
      <c r="A42" s="286" t="s">
        <v>20</v>
      </c>
      <c r="B42" s="183"/>
      <c r="C42" s="183"/>
      <c r="D42" s="179"/>
      <c r="E42" s="152" t="str">
        <f>Planilha!E43</f>
        <v>OBS: 1) Todos os itens deverão estar completamente concluídos e dentro das especificações de projetos para medição da etapa. Os materiais empregados, deverão rigorosamente seguir as especificações de qualidade destacadas na presente planilha.</v>
      </c>
      <c r="F42" s="153"/>
      <c r="G42" s="153"/>
      <c r="H42" s="153"/>
      <c r="I42" s="153"/>
      <c r="J42" s="287"/>
    </row>
    <row r="43" spans="1:10" ht="15.75" x14ac:dyDescent="0.25">
      <c r="A43" s="288"/>
      <c r="B43" s="289"/>
      <c r="C43" s="289"/>
      <c r="D43" s="180"/>
      <c r="E43" s="155"/>
      <c r="F43" s="290"/>
      <c r="G43" s="290"/>
      <c r="H43" s="290"/>
      <c r="I43" s="290"/>
      <c r="J43" s="291"/>
    </row>
    <row r="44" spans="1:10" ht="15.75" x14ac:dyDescent="0.25">
      <c r="A44" s="288"/>
      <c r="B44" s="289"/>
      <c r="C44" s="289"/>
      <c r="D44" s="180"/>
      <c r="E44" s="155"/>
      <c r="F44" s="290"/>
      <c r="G44" s="290"/>
      <c r="H44" s="290"/>
      <c r="I44" s="290"/>
      <c r="J44" s="291"/>
    </row>
    <row r="45" spans="1:10" ht="45" customHeight="1" x14ac:dyDescent="0.25">
      <c r="A45" s="292" t="str">
        <f>Planilha!A43</f>
        <v>JOÃO RAFAEL BUENO DE MORAIS LOPES
CREA-MG:235527/D</v>
      </c>
      <c r="B45" s="293"/>
      <c r="C45" s="293"/>
      <c r="D45" s="294"/>
      <c r="E45" s="295"/>
      <c r="F45" s="296"/>
      <c r="G45" s="296"/>
      <c r="H45" s="296"/>
      <c r="I45" s="296"/>
      <c r="J45" s="297"/>
    </row>
  </sheetData>
  <mergeCells count="86">
    <mergeCell ref="H10:I10"/>
    <mergeCell ref="F20:G20"/>
    <mergeCell ref="H22:I22"/>
    <mergeCell ref="F16:G16"/>
    <mergeCell ref="H16:I16"/>
    <mergeCell ref="B11:J11"/>
    <mergeCell ref="H17:I17"/>
    <mergeCell ref="F17:G17"/>
    <mergeCell ref="H20:I20"/>
    <mergeCell ref="F22:G22"/>
    <mergeCell ref="B19:J19"/>
    <mergeCell ref="F12:G12"/>
    <mergeCell ref="H12:I12"/>
    <mergeCell ref="F13:G13"/>
    <mergeCell ref="H13:I13"/>
    <mergeCell ref="F15:G15"/>
    <mergeCell ref="H15:I15"/>
    <mergeCell ref="F14:G14"/>
    <mergeCell ref="H14:I14"/>
    <mergeCell ref="A6:A7"/>
    <mergeCell ref="B6:B7"/>
    <mergeCell ref="C6:C7"/>
    <mergeCell ref="D6:D7"/>
    <mergeCell ref="E6:E7"/>
    <mergeCell ref="F6:G7"/>
    <mergeCell ref="B8:J8"/>
    <mergeCell ref="H6:I7"/>
    <mergeCell ref="J6:J7"/>
    <mergeCell ref="F9:G9"/>
    <mergeCell ref="H9:I9"/>
    <mergeCell ref="F10:G10"/>
    <mergeCell ref="H5:J5"/>
    <mergeCell ref="A1:A5"/>
    <mergeCell ref="B1:G2"/>
    <mergeCell ref="H1:J1"/>
    <mergeCell ref="H2:J2"/>
    <mergeCell ref="B3:D3"/>
    <mergeCell ref="E3:G5"/>
    <mergeCell ref="H3:I3"/>
    <mergeCell ref="B4:D4"/>
    <mergeCell ref="H4:J4"/>
    <mergeCell ref="B5:D5"/>
    <mergeCell ref="A45:C45"/>
    <mergeCell ref="D42:D45"/>
    <mergeCell ref="F41:G41"/>
    <mergeCell ref="H41:I41"/>
    <mergeCell ref="E42:J45"/>
    <mergeCell ref="A42:C44"/>
    <mergeCell ref="B40:J40"/>
    <mergeCell ref="F35:G35"/>
    <mergeCell ref="H35:I35"/>
    <mergeCell ref="F33:G33"/>
    <mergeCell ref="H33:I33"/>
    <mergeCell ref="F38:G38"/>
    <mergeCell ref="H38:I38"/>
    <mergeCell ref="F37:G37"/>
    <mergeCell ref="F39:G39"/>
    <mergeCell ref="H39:I39"/>
    <mergeCell ref="H37:I37"/>
    <mergeCell ref="F34:G34"/>
    <mergeCell ref="F29:G29"/>
    <mergeCell ref="H29:I29"/>
    <mergeCell ref="F25:G25"/>
    <mergeCell ref="H25:I25"/>
    <mergeCell ref="H36:I36"/>
    <mergeCell ref="F36:G36"/>
    <mergeCell ref="B32:J32"/>
    <mergeCell ref="H34:I34"/>
    <mergeCell ref="F26:G26"/>
    <mergeCell ref="F28:G28"/>
    <mergeCell ref="H28:I28"/>
    <mergeCell ref="F30:G30"/>
    <mergeCell ref="H30:I30"/>
    <mergeCell ref="F31:G31"/>
    <mergeCell ref="H31:I31"/>
    <mergeCell ref="F18:G18"/>
    <mergeCell ref="H18:I18"/>
    <mergeCell ref="H27:I27"/>
    <mergeCell ref="H26:I26"/>
    <mergeCell ref="F21:G21"/>
    <mergeCell ref="H21:I21"/>
    <mergeCell ref="F27:G27"/>
    <mergeCell ref="H24:I24"/>
    <mergeCell ref="F23:G23"/>
    <mergeCell ref="H23:I23"/>
    <mergeCell ref="F24:G24"/>
  </mergeCells>
  <phoneticPr fontId="12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7" fitToHeight="0" orientation="landscape" r:id="rId1"/>
  <headerFooter>
    <oddHeader>&amp;L&amp;G</oddHeader>
    <oddFooter>&amp;C&amp;"Times New Roman,Normal"&amp;12RJ Morais Engenharia e Arquitetura Ltda / CNPJ: 42.441.571/0001-01
www.rjmorais.com.br / rjmorais@rjmorais.com.br / Fone: (37) 99182-8911
Rua Jarbas Ferreira Pires, 440, sala 102, Centro, Arcos/MG, cep 35.588-000</oddFooter>
  </headerFooter>
  <rowBreaks count="2" manualBreakCount="2">
    <brk id="18" max="9" man="1"/>
    <brk id="31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K21"/>
  <sheetViews>
    <sheetView showGridLines="0" view="pageBreakPreview" zoomScaleNormal="100" zoomScaleSheetLayoutView="100" workbookViewId="0">
      <selection activeCell="H12" sqref="H12:I12"/>
    </sheetView>
  </sheetViews>
  <sheetFormatPr defaultColWidth="9.140625" defaultRowHeight="15" x14ac:dyDescent="0.25"/>
  <cols>
    <col min="1" max="1" width="5.42578125" style="8" bestFit="1" customWidth="1"/>
    <col min="2" max="2" width="9.140625" style="8"/>
    <col min="3" max="3" width="21.28515625" style="8" customWidth="1"/>
    <col min="4" max="4" width="12.28515625" style="8" bestFit="1" customWidth="1"/>
    <col min="5" max="5" width="12.5703125" style="8" bestFit="1" customWidth="1"/>
    <col min="6" max="6" width="12.5703125" style="8" customWidth="1"/>
    <col min="7" max="7" width="12.5703125" style="8" bestFit="1" customWidth="1"/>
    <col min="8" max="8" width="7.42578125" style="8" bestFit="1" customWidth="1"/>
    <col min="9" max="9" width="7.28515625" style="8" bestFit="1" customWidth="1"/>
    <col min="10" max="10" width="9.140625" style="8"/>
    <col min="11" max="11" width="14.42578125" style="8" bestFit="1" customWidth="1"/>
    <col min="12" max="16384" width="9.140625" style="8"/>
  </cols>
  <sheetData>
    <row r="1" spans="1:11" ht="16.5" thickBot="1" x14ac:dyDescent="0.3">
      <c r="A1" s="194" t="s">
        <v>10</v>
      </c>
      <c r="B1" s="195"/>
      <c r="C1" s="195"/>
      <c r="D1" s="195"/>
      <c r="E1" s="195"/>
      <c r="F1" s="195"/>
      <c r="G1" s="195"/>
      <c r="H1" s="195"/>
      <c r="I1" s="196"/>
    </row>
    <row r="2" spans="1:11" ht="15.75" thickBot="1" x14ac:dyDescent="0.3">
      <c r="A2" s="197" t="str">
        <f>Planilha!B5</f>
        <v>ÓRGÃO: CÂMARA MUNICIPAL DOS VEREADORES DE ARCOS</v>
      </c>
      <c r="B2" s="198"/>
      <c r="C2" s="198"/>
      <c r="D2" s="198"/>
      <c r="E2" s="198"/>
      <c r="F2" s="198"/>
      <c r="G2" s="198"/>
      <c r="H2" s="198"/>
      <c r="I2" s="199"/>
    </row>
    <row r="3" spans="1:11" ht="15.75" thickBot="1" x14ac:dyDescent="0.3">
      <c r="A3" s="192" t="str">
        <f>Planilha!B3</f>
        <v>ESCOPO: REFORMA DA COBERTURA DA CÂMARA MUNICIPAL DE ARCOS</v>
      </c>
      <c r="B3" s="193"/>
      <c r="C3" s="193"/>
      <c r="D3" s="193"/>
      <c r="E3" s="193"/>
      <c r="F3" s="193"/>
      <c r="G3" s="193"/>
      <c r="H3" s="200"/>
      <c r="I3" s="201"/>
    </row>
    <row r="4" spans="1:11" ht="15.75" thickBot="1" x14ac:dyDescent="0.3">
      <c r="A4" s="192" t="str">
        <f>Planilha!B4</f>
        <v>LOCAL:  RUA 25 DE DEZEMBRO, 760, CENTRO, ARCOS-MG</v>
      </c>
      <c r="B4" s="193"/>
      <c r="C4" s="193"/>
      <c r="D4" s="193"/>
      <c r="E4" s="193"/>
      <c r="F4" s="193"/>
      <c r="G4" s="193"/>
      <c r="H4" s="5" t="s">
        <v>30</v>
      </c>
      <c r="I4" s="97" t="s">
        <v>94</v>
      </c>
    </row>
    <row r="5" spans="1:11" ht="26.25" thickBot="1" x14ac:dyDescent="0.3">
      <c r="A5" s="47" t="s">
        <v>2</v>
      </c>
      <c r="B5" s="202" t="s">
        <v>11</v>
      </c>
      <c r="C5" s="203"/>
      <c r="D5" s="4" t="s">
        <v>12</v>
      </c>
      <c r="E5" s="2" t="s">
        <v>13</v>
      </c>
      <c r="F5" s="3" t="s">
        <v>14</v>
      </c>
      <c r="G5" s="3" t="s">
        <v>93</v>
      </c>
      <c r="H5" s="204" t="s">
        <v>15</v>
      </c>
      <c r="I5" s="205"/>
    </row>
    <row r="6" spans="1:11" x14ac:dyDescent="0.25">
      <c r="A6" s="212">
        <v>1</v>
      </c>
      <c r="B6" s="208" t="str">
        <f>Planilha!B8</f>
        <v xml:space="preserve">SERVIÇOS PRELIMINARES </v>
      </c>
      <c r="C6" s="209"/>
      <c r="D6" s="9" t="s">
        <v>16</v>
      </c>
      <c r="E6" s="1">
        <f>E7/$E$14</f>
        <v>8.8206417679255675E-3</v>
      </c>
      <c r="F6" s="7">
        <v>1</v>
      </c>
      <c r="G6" s="7"/>
      <c r="H6" s="190">
        <f>F6</f>
        <v>1</v>
      </c>
      <c r="I6" s="191"/>
    </row>
    <row r="7" spans="1:11" ht="15.75" thickBot="1" x14ac:dyDescent="0.3">
      <c r="A7" s="213"/>
      <c r="B7" s="210"/>
      <c r="C7" s="211"/>
      <c r="D7" s="10" t="s">
        <v>17</v>
      </c>
      <c r="E7" s="11">
        <f>Planilha!J8</f>
        <v>1890.1593533163493</v>
      </c>
      <c r="F7" s="12">
        <f>E7*F6</f>
        <v>1890.1593533163493</v>
      </c>
      <c r="G7" s="12"/>
      <c r="H7" s="206">
        <f>F7</f>
        <v>1890.1593533163493</v>
      </c>
      <c r="I7" s="207"/>
    </row>
    <row r="8" spans="1:11" ht="17.25" customHeight="1" x14ac:dyDescent="0.25">
      <c r="A8" s="212">
        <v>2</v>
      </c>
      <c r="B8" s="208" t="str">
        <f>Planilha!B11</f>
        <v>DEMOLIÇÃO E AFASTAMENTOS</v>
      </c>
      <c r="C8" s="209"/>
      <c r="D8" s="9" t="s">
        <v>16</v>
      </c>
      <c r="E8" s="1">
        <f>E9/$E$14</f>
        <v>0.12541188128797293</v>
      </c>
      <c r="F8" s="7">
        <v>1</v>
      </c>
      <c r="G8" s="7"/>
      <c r="H8" s="190">
        <f>F8</f>
        <v>1</v>
      </c>
      <c r="I8" s="191"/>
    </row>
    <row r="9" spans="1:11" ht="17.25" customHeight="1" thickBot="1" x14ac:dyDescent="0.3">
      <c r="A9" s="213"/>
      <c r="B9" s="210"/>
      <c r="C9" s="211"/>
      <c r="D9" s="10" t="s">
        <v>17</v>
      </c>
      <c r="E9" s="11">
        <f>Planilha!J11</f>
        <v>26874.284963645063</v>
      </c>
      <c r="F9" s="12">
        <f>E9*F8</f>
        <v>26874.284963645063</v>
      </c>
      <c r="G9" s="12"/>
      <c r="H9" s="206">
        <f>F9</f>
        <v>26874.284963645063</v>
      </c>
      <c r="I9" s="207"/>
    </row>
    <row r="10" spans="1:11" ht="15" customHeight="1" x14ac:dyDescent="0.25">
      <c r="A10" s="212">
        <v>3</v>
      </c>
      <c r="B10" s="208" t="str">
        <f>Planilha!B19</f>
        <v>RECUPERAÇÃO DA COBERTURA</v>
      </c>
      <c r="C10" s="209"/>
      <c r="D10" s="9" t="s">
        <v>16</v>
      </c>
      <c r="E10" s="1">
        <f>E11/$E$14</f>
        <v>0.8474472893511289</v>
      </c>
      <c r="F10" s="7">
        <v>0.5</v>
      </c>
      <c r="G10" s="7">
        <v>0.5</v>
      </c>
      <c r="H10" s="190">
        <f>F10+G10</f>
        <v>1</v>
      </c>
      <c r="I10" s="191"/>
    </row>
    <row r="11" spans="1:11" ht="17.25" customHeight="1" thickBot="1" x14ac:dyDescent="0.3">
      <c r="A11" s="213"/>
      <c r="B11" s="210"/>
      <c r="C11" s="211"/>
      <c r="D11" s="10" t="s">
        <v>17</v>
      </c>
      <c r="E11" s="15">
        <f>Planilha!J19+Planilha!J32</f>
        <v>181597.9452010254</v>
      </c>
      <c r="F11" s="12">
        <f>E11*F10</f>
        <v>90798.972600512701</v>
      </c>
      <c r="G11" s="12">
        <f>E11*G10</f>
        <v>90798.972600512701</v>
      </c>
      <c r="H11" s="206">
        <f>F11+G11</f>
        <v>181597.9452010254</v>
      </c>
      <c r="I11" s="207"/>
    </row>
    <row r="12" spans="1:11" ht="15" customHeight="1" x14ac:dyDescent="0.25">
      <c r="A12" s="212">
        <v>6</v>
      </c>
      <c r="B12" s="208" t="str">
        <f>Planilha!B40</f>
        <v>LIMPEZA FINAL PARA ENTREGA DA OBRA</v>
      </c>
      <c r="C12" s="209"/>
      <c r="D12" s="13" t="s">
        <v>16</v>
      </c>
      <c r="E12" s="1">
        <f>E13/$E$14</f>
        <v>1.8320187592972589E-2</v>
      </c>
      <c r="F12" s="7"/>
      <c r="G12" s="7">
        <v>1</v>
      </c>
      <c r="H12" s="190">
        <f t="shared" ref="H12:H13" si="0">SUM(G12:G12)</f>
        <v>1</v>
      </c>
      <c r="I12" s="191"/>
    </row>
    <row r="13" spans="1:11" ht="17.25" customHeight="1" thickBot="1" x14ac:dyDescent="0.3">
      <c r="A13" s="213"/>
      <c r="B13" s="210"/>
      <c r="C13" s="211"/>
      <c r="D13" s="14" t="s">
        <v>17</v>
      </c>
      <c r="E13" s="15">
        <f>Planilha!J40</f>
        <v>3925.7998277727456</v>
      </c>
      <c r="F13" s="12"/>
      <c r="G13" s="12">
        <f>E13*G12</f>
        <v>3925.7998277727456</v>
      </c>
      <c r="H13" s="206">
        <f t="shared" si="0"/>
        <v>3925.7998277727456</v>
      </c>
      <c r="I13" s="207"/>
    </row>
    <row r="14" spans="1:11" s="6" customFormat="1" ht="15.75" customHeight="1" thickBot="1" x14ac:dyDescent="0.3">
      <c r="A14" s="212" t="s">
        <v>38</v>
      </c>
      <c r="B14" s="217"/>
      <c r="C14" s="217"/>
      <c r="D14" s="218"/>
      <c r="E14" s="44">
        <f>E7+E9+E11+E13</f>
        <v>214288.18934575957</v>
      </c>
      <c r="F14" s="44">
        <f>F7+F9+F11</f>
        <v>119563.41691747411</v>
      </c>
      <c r="G14" s="44">
        <f>G7+G9+G11+G13</f>
        <v>94724.772428285447</v>
      </c>
      <c r="H14" s="235">
        <f>H7+H9+H11+H13</f>
        <v>214288.18934575957</v>
      </c>
      <c r="I14" s="236"/>
    </row>
    <row r="15" spans="1:11" ht="14.45" customHeight="1" x14ac:dyDescent="0.25">
      <c r="A15" s="223" t="s">
        <v>20</v>
      </c>
      <c r="B15" s="224"/>
      <c r="C15" s="224"/>
      <c r="D15" s="225"/>
      <c r="E15" s="219" t="s">
        <v>39</v>
      </c>
      <c r="F15" s="219"/>
      <c r="G15" s="219"/>
      <c r="H15" s="219"/>
      <c r="I15" s="220"/>
      <c r="J15" s="16"/>
      <c r="K15" s="88"/>
    </row>
    <row r="16" spans="1:11" x14ac:dyDescent="0.25">
      <c r="A16" s="226"/>
      <c r="B16" s="227"/>
      <c r="C16" s="227"/>
      <c r="D16" s="228"/>
      <c r="E16" s="221"/>
      <c r="F16" s="221"/>
      <c r="G16" s="221"/>
      <c r="H16" s="221"/>
      <c r="I16" s="222"/>
      <c r="J16" s="16"/>
    </row>
    <row r="17" spans="1:10" ht="15" customHeight="1" x14ac:dyDescent="0.25">
      <c r="A17" s="229" t="s">
        <v>28</v>
      </c>
      <c r="B17" s="230"/>
      <c r="C17" s="230"/>
      <c r="D17" s="231"/>
      <c r="E17" s="215"/>
      <c r="F17" s="215"/>
      <c r="G17" s="215"/>
      <c r="H17" s="215"/>
      <c r="I17" s="216"/>
      <c r="J17" s="16"/>
    </row>
    <row r="18" spans="1:10" ht="15" customHeight="1" thickBot="1" x14ac:dyDescent="0.3">
      <c r="A18" s="232" t="s">
        <v>29</v>
      </c>
      <c r="B18" s="233"/>
      <c r="C18" s="233"/>
      <c r="D18" s="234"/>
      <c r="E18" s="42"/>
      <c r="F18" s="42"/>
      <c r="G18" s="42"/>
      <c r="H18" s="42"/>
      <c r="I18" s="43"/>
      <c r="J18" s="16"/>
    </row>
    <row r="21" spans="1:10" ht="18" x14ac:dyDescent="0.25">
      <c r="C21" s="17"/>
      <c r="D21" s="214"/>
      <c r="E21" s="214"/>
      <c r="F21" s="214"/>
      <c r="G21" s="214"/>
    </row>
  </sheetData>
  <mergeCells count="31">
    <mergeCell ref="H13:I13"/>
    <mergeCell ref="A6:A7"/>
    <mergeCell ref="B6:C7"/>
    <mergeCell ref="D21:G21"/>
    <mergeCell ref="E17:I17"/>
    <mergeCell ref="A14:D14"/>
    <mergeCell ref="E15:I16"/>
    <mergeCell ref="A15:D16"/>
    <mergeCell ref="A17:D17"/>
    <mergeCell ref="A18:D18"/>
    <mergeCell ref="H11:I11"/>
    <mergeCell ref="H14:I14"/>
    <mergeCell ref="A10:A11"/>
    <mergeCell ref="A8:A9"/>
    <mergeCell ref="A12:A13"/>
    <mergeCell ref="B12:C13"/>
    <mergeCell ref="H12:I12"/>
    <mergeCell ref="A4:G4"/>
    <mergeCell ref="A1:I1"/>
    <mergeCell ref="A2:I2"/>
    <mergeCell ref="A3:G3"/>
    <mergeCell ref="H3:I3"/>
    <mergeCell ref="B5:C5"/>
    <mergeCell ref="H5:I5"/>
    <mergeCell ref="H6:I6"/>
    <mergeCell ref="H7:I7"/>
    <mergeCell ref="H10:I10"/>
    <mergeCell ref="B8:C9"/>
    <mergeCell ref="H8:I8"/>
    <mergeCell ref="H9:I9"/>
    <mergeCell ref="B10:C11"/>
  </mergeCells>
  <phoneticPr fontId="12" type="noConversion"/>
  <conditionalFormatting sqref="F6:G6">
    <cfRule type="cellIs" dxfId="8" priority="14" operator="greaterThan">
      <formula>0</formula>
    </cfRule>
  </conditionalFormatting>
  <conditionalFormatting sqref="F8:G8">
    <cfRule type="cellIs" dxfId="7" priority="6" operator="greaterThan">
      <formula>0</formula>
    </cfRule>
  </conditionalFormatting>
  <conditionalFormatting sqref="F10:G10">
    <cfRule type="cellIs" dxfId="6" priority="5" operator="greaterThan">
      <formula>0</formula>
    </cfRule>
  </conditionalFormatting>
  <conditionalFormatting sqref="F12:G12">
    <cfRule type="cellIs" dxfId="5" priority="2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  <oddFooter>&amp;C&amp;"Times New Roman,Normal"&amp;12RJ Morais Engenharia e Arquitetura Ltda / CNPJ: 42.441.571/0001-01
www.rjmorais.com.br / rjmorais@rjmorais.com.br / Fone: (37) 99182-8911
Rua Jarbas Ferreira Pires, 440, sala 102, Centro, Arcos/MG, cep 35.588-000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C44D1-2C83-45DF-9811-0F625D6D4A2D}">
  <sheetPr>
    <pageSetUpPr fitToPage="1"/>
  </sheetPr>
  <dimension ref="A1:K27"/>
  <sheetViews>
    <sheetView tabSelected="1" view="pageBreakPreview" topLeftCell="A4" zoomScaleNormal="100" zoomScaleSheetLayoutView="100" workbookViewId="0">
      <selection activeCell="I7" sqref="A1:XFD1048576"/>
    </sheetView>
  </sheetViews>
  <sheetFormatPr defaultRowHeight="15" x14ac:dyDescent="0.25"/>
  <cols>
    <col min="1" max="1" width="6.28515625" style="314" customWidth="1"/>
    <col min="2" max="2" width="13.28515625" style="308" customWidth="1"/>
    <col min="3" max="3" width="33.85546875" style="308" customWidth="1"/>
    <col min="4" max="4" width="11.140625" style="308" customWidth="1"/>
    <col min="5" max="5" width="7.140625" style="308" customWidth="1"/>
    <col min="6" max="6" width="17.140625" style="308" customWidth="1"/>
    <col min="7" max="7" width="14.28515625" style="308" bestFit="1" customWidth="1"/>
    <col min="8" max="8" width="15.85546875" style="308" bestFit="1" customWidth="1"/>
    <col min="9" max="9" width="15.28515625" style="308" customWidth="1"/>
    <col min="10" max="10" width="9.140625" style="308"/>
    <col min="11" max="11" width="14.5703125" style="308" bestFit="1" customWidth="1"/>
    <col min="12" max="16384" width="9.140625" style="308"/>
  </cols>
  <sheetData>
    <row r="1" spans="1:11" s="301" customFormat="1" ht="15" customHeight="1" x14ac:dyDescent="0.25">
      <c r="A1" s="298" t="s">
        <v>42</v>
      </c>
      <c r="B1" s="298"/>
      <c r="C1" s="298"/>
      <c r="D1" s="298"/>
      <c r="E1" s="298"/>
      <c r="F1" s="298"/>
      <c r="G1" s="298"/>
      <c r="H1" s="298"/>
      <c r="I1" s="299"/>
      <c r="J1" s="300"/>
      <c r="K1" s="300"/>
    </row>
    <row r="2" spans="1:11" s="303" customFormat="1" ht="24" customHeight="1" x14ac:dyDescent="0.25">
      <c r="A2" s="237" t="str">
        <f>Planilha!H2</f>
        <v>Data-Base: SINAPI/DEZ 2024 -  SUDECAP/OUT 2024 - SETOP/JUL 2024</v>
      </c>
      <c r="B2" s="237"/>
      <c r="C2" s="237"/>
      <c r="D2" s="238" t="s">
        <v>96</v>
      </c>
      <c r="E2" s="239"/>
      <c r="F2" s="240" t="s">
        <v>95</v>
      </c>
      <c r="G2" s="241"/>
      <c r="H2" s="241"/>
      <c r="I2" s="242"/>
      <c r="J2" s="302"/>
      <c r="K2" s="302"/>
    </row>
    <row r="3" spans="1:11" s="303" customFormat="1" ht="31.5" customHeight="1" x14ac:dyDescent="0.25">
      <c r="A3" s="304" t="str">
        <f>Planilha!B3</f>
        <v>ESCOPO: REFORMA DA COBERTURA DA CÂMARA MUNICIPAL DE ARCOS</v>
      </c>
      <c r="B3" s="243"/>
      <c r="C3" s="243"/>
      <c r="D3" s="243"/>
      <c r="E3" s="243"/>
      <c r="F3" s="243"/>
      <c r="G3" s="243"/>
      <c r="H3" s="243"/>
      <c r="I3" s="244"/>
      <c r="J3" s="305"/>
      <c r="K3" s="305"/>
    </row>
    <row r="4" spans="1:11" s="303" customFormat="1" ht="29.25" customHeight="1" x14ac:dyDescent="0.25">
      <c r="A4" s="306" t="str">
        <f>Planilha!B5</f>
        <v>ÓRGÃO: CÂMARA MUNICIPAL DOS VEREADORES DE ARCOS</v>
      </c>
      <c r="B4" s="247"/>
      <c r="C4" s="254"/>
      <c r="D4" s="246" t="str">
        <f>Planilha!B4</f>
        <v>LOCAL:  RUA 25 DE DEZEMBRO, 760, CENTRO, ARCOS-MG</v>
      </c>
      <c r="E4" s="247"/>
      <c r="F4" s="247"/>
      <c r="G4" s="247"/>
      <c r="H4" s="247"/>
      <c r="I4" s="248"/>
      <c r="J4" s="305"/>
      <c r="K4" s="305"/>
    </row>
    <row r="5" spans="1:11" s="303" customFormat="1" ht="18" x14ac:dyDescent="0.25">
      <c r="A5" s="307" t="s">
        <v>65</v>
      </c>
      <c r="B5" s="249"/>
      <c r="C5" s="250"/>
      <c r="D5" s="261">
        <f>Planilha!J42</f>
        <v>214288.18934575957</v>
      </c>
      <c r="E5" s="262"/>
      <c r="F5" s="20"/>
      <c r="G5" s="21" t="s">
        <v>19</v>
      </c>
      <c r="H5" s="22">
        <f>I7</f>
        <v>0.20301131837419373</v>
      </c>
      <c r="I5" s="23"/>
      <c r="J5" s="24"/>
      <c r="K5" s="25"/>
    </row>
    <row r="6" spans="1:11" ht="20.25" x14ac:dyDescent="0.25">
      <c r="A6" s="251"/>
      <c r="B6" s="251"/>
      <c r="C6" s="251"/>
      <c r="D6" s="251"/>
      <c r="E6" s="251"/>
      <c r="F6" s="251"/>
      <c r="G6" s="251"/>
      <c r="H6" s="251"/>
      <c r="I6" s="252"/>
    </row>
    <row r="7" spans="1:11" ht="15" customHeight="1" x14ac:dyDescent="0.25">
      <c r="A7" s="251" t="s">
        <v>40</v>
      </c>
      <c r="B7" s="251"/>
      <c r="C7" s="251"/>
      <c r="D7" s="253" t="s">
        <v>44</v>
      </c>
      <c r="E7" s="253"/>
      <c r="F7" s="253"/>
      <c r="G7" s="253"/>
      <c r="H7" s="45" t="s">
        <v>47</v>
      </c>
      <c r="I7" s="27">
        <f>IF(H7="S",((1+D12+D9+D10)*(1+D11)*((1+D13)/(1-D15-D14)))-1,0)</f>
        <v>0.20301131837419373</v>
      </c>
    </row>
    <row r="8" spans="1:11" ht="15" customHeight="1" x14ac:dyDescent="0.25">
      <c r="A8" s="251"/>
      <c r="B8" s="251"/>
      <c r="C8" s="251"/>
      <c r="D8" s="253" t="s">
        <v>46</v>
      </c>
      <c r="E8" s="253"/>
      <c r="F8" s="253"/>
      <c r="G8" s="253"/>
      <c r="H8" s="26" t="s">
        <v>45</v>
      </c>
      <c r="I8" s="27"/>
      <c r="K8" s="308" t="s">
        <v>43</v>
      </c>
    </row>
    <row r="9" spans="1:11" ht="15" customHeight="1" x14ac:dyDescent="0.25">
      <c r="A9" s="309" t="s">
        <v>48</v>
      </c>
      <c r="B9" s="245"/>
      <c r="C9" s="28" t="s">
        <v>49</v>
      </c>
      <c r="D9" s="255">
        <v>8.0000000000000002E-3</v>
      </c>
      <c r="E9" s="255"/>
      <c r="F9" s="267" t="s">
        <v>50</v>
      </c>
      <c r="G9" s="267"/>
      <c r="H9" s="267"/>
      <c r="I9" s="268"/>
    </row>
    <row r="10" spans="1:11" x14ac:dyDescent="0.25">
      <c r="A10" s="309" t="s">
        <v>51</v>
      </c>
      <c r="B10" s="245"/>
      <c r="C10" s="28" t="s">
        <v>52</v>
      </c>
      <c r="D10" s="255">
        <v>9.7000000000000003E-3</v>
      </c>
      <c r="E10" s="255"/>
      <c r="F10" s="267"/>
      <c r="G10" s="267"/>
      <c r="H10" s="267"/>
      <c r="I10" s="268"/>
    </row>
    <row r="11" spans="1:11" x14ac:dyDescent="0.25">
      <c r="A11" s="310" t="s">
        <v>53</v>
      </c>
      <c r="B11" s="256"/>
      <c r="C11" s="28" t="s">
        <v>54</v>
      </c>
      <c r="D11" s="255">
        <v>5.8999999999999999E-3</v>
      </c>
      <c r="E11" s="255"/>
      <c r="F11" s="267"/>
      <c r="G11" s="267"/>
      <c r="H11" s="267"/>
      <c r="I11" s="268"/>
    </row>
    <row r="12" spans="1:11" x14ac:dyDescent="0.25">
      <c r="A12" s="309" t="s">
        <v>55</v>
      </c>
      <c r="B12" s="245"/>
      <c r="C12" s="28" t="s">
        <v>56</v>
      </c>
      <c r="D12" s="255">
        <v>0.03</v>
      </c>
      <c r="E12" s="255"/>
      <c r="F12" s="267"/>
      <c r="G12" s="267"/>
      <c r="H12" s="267"/>
      <c r="I12" s="268"/>
    </row>
    <row r="13" spans="1:11" x14ac:dyDescent="0.25">
      <c r="A13" s="309" t="s">
        <v>57</v>
      </c>
      <c r="B13" s="245"/>
      <c r="C13" s="28" t="s">
        <v>58</v>
      </c>
      <c r="D13" s="255">
        <v>6.1600000000000002E-2</v>
      </c>
      <c r="E13" s="255"/>
      <c r="F13" s="267"/>
      <c r="G13" s="267"/>
      <c r="H13" s="267"/>
      <c r="I13" s="268"/>
    </row>
    <row r="14" spans="1:11" x14ac:dyDescent="0.25">
      <c r="A14" s="309" t="s">
        <v>59</v>
      </c>
      <c r="B14" s="245"/>
      <c r="C14" s="28">
        <v>4.4999999999999998E-2</v>
      </c>
      <c r="D14" s="255">
        <v>4.4999999999999998E-2</v>
      </c>
      <c r="E14" s="255"/>
      <c r="F14" s="267"/>
      <c r="G14" s="267"/>
      <c r="H14" s="267"/>
      <c r="I14" s="268"/>
    </row>
    <row r="15" spans="1:11" x14ac:dyDescent="0.25">
      <c r="A15" s="309" t="s">
        <v>60</v>
      </c>
      <c r="B15" s="245"/>
      <c r="C15" s="28">
        <v>2.5000000000000001E-2</v>
      </c>
      <c r="D15" s="255">
        <v>2.5000000000000001E-2</v>
      </c>
      <c r="E15" s="255"/>
      <c r="F15" s="267"/>
      <c r="G15" s="267"/>
      <c r="H15" s="267"/>
      <c r="I15" s="268"/>
    </row>
    <row r="16" spans="1:11" x14ac:dyDescent="0.25">
      <c r="A16" s="311"/>
      <c r="B16" s="29"/>
      <c r="C16" s="30"/>
      <c r="D16" s="31"/>
      <c r="E16" s="31"/>
      <c r="F16" s="265" t="s">
        <v>61</v>
      </c>
      <c r="G16" s="265"/>
      <c r="H16" s="265"/>
      <c r="I16" s="266"/>
    </row>
    <row r="17" spans="1:11" x14ac:dyDescent="0.25">
      <c r="A17" s="48" t="s">
        <v>2</v>
      </c>
      <c r="B17" s="32" t="s">
        <v>1</v>
      </c>
      <c r="C17" s="48" t="s">
        <v>62</v>
      </c>
      <c r="D17" s="48" t="s">
        <v>63</v>
      </c>
      <c r="E17" s="48" t="s">
        <v>4</v>
      </c>
      <c r="F17" s="48" t="s">
        <v>66</v>
      </c>
      <c r="G17" s="48" t="s">
        <v>64</v>
      </c>
      <c r="H17" s="48" t="s">
        <v>67</v>
      </c>
      <c r="I17" s="49" t="s">
        <v>64</v>
      </c>
    </row>
    <row r="18" spans="1:11" ht="22.5" x14ac:dyDescent="0.25">
      <c r="A18" s="312">
        <v>1</v>
      </c>
      <c r="B18" s="33" t="s">
        <v>36</v>
      </c>
      <c r="C18" s="46" t="str">
        <f>Planilha!B3</f>
        <v>ESCOPO: REFORMA DA COBERTURA DA CÂMARA MUNICIPAL DE ARCOS</v>
      </c>
      <c r="D18" s="50" t="s">
        <v>63</v>
      </c>
      <c r="E18" s="34">
        <v>1</v>
      </c>
      <c r="F18" s="39">
        <f>Planilha!H42</f>
        <v>178126.49479919998</v>
      </c>
      <c r="G18" s="40">
        <f>E18*F18</f>
        <v>178126.49479919998</v>
      </c>
      <c r="H18" s="40">
        <f>G18+(H5*F18)</f>
        <v>214288.18934575951</v>
      </c>
      <c r="I18" s="41">
        <f>E18*H18</f>
        <v>214288.18934575951</v>
      </c>
    </row>
    <row r="19" spans="1:11" x14ac:dyDescent="0.25">
      <c r="A19" s="263" t="s">
        <v>15</v>
      </c>
      <c r="B19" s="263"/>
      <c r="C19" s="264"/>
      <c r="D19" s="263"/>
      <c r="E19" s="263"/>
      <c r="F19" s="263"/>
      <c r="G19" s="37">
        <f>G18</f>
        <v>178126.49479919998</v>
      </c>
      <c r="H19" s="35"/>
      <c r="I19" s="38">
        <f>I18</f>
        <v>214288.18934575951</v>
      </c>
      <c r="K19" s="313"/>
    </row>
    <row r="20" spans="1:11" x14ac:dyDescent="0.25">
      <c r="I20" s="18"/>
    </row>
    <row r="21" spans="1:11" x14ac:dyDescent="0.25">
      <c r="I21" s="18"/>
    </row>
    <row r="22" spans="1:11" x14ac:dyDescent="0.25">
      <c r="I22" s="18"/>
    </row>
    <row r="23" spans="1:11" ht="33.75" customHeight="1" x14ac:dyDescent="0.25">
      <c r="B23" s="315" t="s">
        <v>41</v>
      </c>
      <c r="C23" s="315"/>
      <c r="D23" s="315"/>
      <c r="E23" s="315"/>
      <c r="F23" s="315"/>
      <c r="G23" s="315"/>
      <c r="H23" s="315"/>
      <c r="I23" s="257"/>
      <c r="J23" s="316"/>
      <c r="K23" s="316"/>
    </row>
    <row r="24" spans="1:11" x14ac:dyDescent="0.25">
      <c r="B24" s="317" t="s">
        <v>28</v>
      </c>
      <c r="C24" s="317"/>
      <c r="D24" s="317"/>
      <c r="E24" s="317"/>
      <c r="F24" s="317"/>
      <c r="G24" s="317"/>
      <c r="H24" s="317"/>
      <c r="I24" s="258"/>
      <c r="J24" s="318"/>
      <c r="K24" s="318"/>
    </row>
    <row r="25" spans="1:11" x14ac:dyDescent="0.25">
      <c r="B25" s="319" t="s">
        <v>69</v>
      </c>
      <c r="C25" s="319"/>
      <c r="D25" s="319"/>
      <c r="E25" s="319"/>
      <c r="F25" s="319"/>
      <c r="G25" s="319"/>
      <c r="H25" s="319"/>
      <c r="I25" s="259"/>
      <c r="J25" s="320"/>
      <c r="K25" s="320"/>
    </row>
    <row r="26" spans="1:11" x14ac:dyDescent="0.25">
      <c r="B26" s="321" t="s">
        <v>70</v>
      </c>
      <c r="C26" s="321"/>
      <c r="D26" s="321"/>
      <c r="E26" s="321"/>
      <c r="F26" s="321"/>
      <c r="G26" s="321"/>
      <c r="H26" s="321"/>
      <c r="I26" s="260"/>
      <c r="J26" s="322"/>
      <c r="K26" s="322"/>
    </row>
    <row r="27" spans="1:11" ht="15.75" thickBot="1" x14ac:dyDescent="0.3">
      <c r="A27" s="323"/>
      <c r="B27" s="36"/>
      <c r="C27" s="36"/>
      <c r="D27" s="36"/>
      <c r="E27" s="36"/>
      <c r="F27" s="36"/>
      <c r="G27" s="36"/>
      <c r="H27" s="36"/>
      <c r="I27" s="19"/>
    </row>
  </sheetData>
  <mergeCells count="34">
    <mergeCell ref="B23:I23"/>
    <mergeCell ref="B24:I24"/>
    <mergeCell ref="B25:I25"/>
    <mergeCell ref="B26:I26"/>
    <mergeCell ref="D5:E5"/>
    <mergeCell ref="A19:F19"/>
    <mergeCell ref="D13:E13"/>
    <mergeCell ref="A14:B14"/>
    <mergeCell ref="D14:E14"/>
    <mergeCell ref="A15:B15"/>
    <mergeCell ref="D15:E15"/>
    <mergeCell ref="F16:I16"/>
    <mergeCell ref="A9:B9"/>
    <mergeCell ref="D9:E9"/>
    <mergeCell ref="F9:I15"/>
    <mergeCell ref="A10:B10"/>
    <mergeCell ref="A13:B13"/>
    <mergeCell ref="D4:I4"/>
    <mergeCell ref="A5:C5"/>
    <mergeCell ref="A6:I6"/>
    <mergeCell ref="A7:C8"/>
    <mergeCell ref="D7:G7"/>
    <mergeCell ref="D8:G8"/>
    <mergeCell ref="A4:C4"/>
    <mergeCell ref="D10:E10"/>
    <mergeCell ref="A11:B11"/>
    <mergeCell ref="D11:E11"/>
    <mergeCell ref="A12:B12"/>
    <mergeCell ref="D12:E12"/>
    <mergeCell ref="A1:I1"/>
    <mergeCell ref="A2:C2"/>
    <mergeCell ref="D2:E2"/>
    <mergeCell ref="F2:I2"/>
    <mergeCell ref="A3:I3"/>
  </mergeCells>
  <conditionalFormatting sqref="A19 G19:I19">
    <cfRule type="cellIs" dxfId="4" priority="2" stopIfTrue="1" operator="equal">
      <formula>0</formula>
    </cfRule>
    <cfRule type="expression" dxfId="3" priority="3" stopIfTrue="1">
      <formula>SOMA</formula>
    </cfRule>
  </conditionalFormatting>
  <conditionalFormatting sqref="H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:H8">
    <cfRule type="cellIs" dxfId="2" priority="6" stopIfTrue="1" operator="notEqual">
      <formula>IF(H8="x",0)</formula>
    </cfRule>
  </conditionalFormatting>
  <conditionalFormatting sqref="I18">
    <cfRule type="cellIs" dxfId="1" priority="4" stopIfTrue="1" operator="equal">
      <formula>0</formula>
    </cfRule>
    <cfRule type="expression" dxfId="0" priority="5" stopIfTrue="1">
      <formula>SOMA</formula>
    </cfRule>
  </conditionalFormatting>
  <printOptions horizontalCentered="1"/>
  <pageMargins left="0.51181102362204722" right="0.51181102362204722" top="1.7716535433070868" bottom="0.78740157480314965" header="0.31496062992125984" footer="0.31496062992125984"/>
  <pageSetup paperSize="9" scale="70" orientation="portrait" horizontalDpi="300" verticalDpi="300" r:id="rId1"/>
  <headerFooter>
    <oddHeader>&amp;L&amp;G</oddHeader>
    <oddFooter xml:space="preserve">&amp;C&amp;"Times New Roman,Normal"RJ Morais Engenharia e Arquitetura Ltda / CNPJ: 42.441.571/0001-01
www.rjmorais.com.br / rjmorais@rjmorais.com.br / Fone: (37) 99182-8911
Rua Jarbas Ferreira Pires, 440, sala 102, Centro, Arcos/MG, cep 35.588-000&amp;"-,Regular"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</vt:lpstr>
      <vt:lpstr>memória de cálculo</vt:lpstr>
      <vt:lpstr>cronograma</vt:lpstr>
      <vt:lpstr>BDI</vt:lpstr>
      <vt:lpstr>BDI!Area_de_impressao</vt:lpstr>
      <vt:lpstr>cronograma!Area_de_impressao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RAFAEL</dc:creator>
  <cp:lastModifiedBy>Jean</cp:lastModifiedBy>
  <cp:lastPrinted>2025-01-23T15:23:33Z</cp:lastPrinted>
  <dcterms:created xsi:type="dcterms:W3CDTF">2018-08-13T11:37:25Z</dcterms:created>
  <dcterms:modified xsi:type="dcterms:W3CDTF">2025-01-23T15:24:02Z</dcterms:modified>
</cp:coreProperties>
</file>